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@BAPENDA\KEUANGAN\PENATAUSAHAAN\2024\LRA MANUAL\"/>
    </mc:Choice>
  </mc:AlternateContent>
  <xr:revisionPtr revIDLastSave="0" documentId="13_ncr:1_{7EB87C97-FF7F-4211-9CF6-1542F9EB93BA}" xr6:coauthVersionLast="47" xr6:coauthVersionMax="47" xr10:uidLastSave="{00000000-0000-0000-0000-000000000000}"/>
  <bookViews>
    <workbookView xWindow="-600" yWindow="24" windowWidth="12480" windowHeight="11496" xr2:uid="{00000000-000D-0000-FFFF-FFFF00000000}"/>
  </bookViews>
  <sheets>
    <sheet name="MARET" sheetId="215" r:id="rId1"/>
  </sheets>
  <definedNames>
    <definedName name="b" localSheetId="0">#REF!</definedName>
    <definedName name="b">#REF!</definedName>
    <definedName name="n" localSheetId="0">#REF!</definedName>
    <definedName name="n">#REF!</definedName>
    <definedName name="_xlnm.Print_Area" localSheetId="0">MARET!$A$1:$O$406</definedName>
  </definedNames>
  <calcPr calcId="191029"/>
</workbook>
</file>

<file path=xl/calcChain.xml><?xml version="1.0" encoding="utf-8"?>
<calcChain xmlns="http://schemas.openxmlformats.org/spreadsheetml/2006/main">
  <c r="I53" i="215" l="1"/>
  <c r="I62" i="215"/>
  <c r="J62" i="215" s="1"/>
  <c r="I61" i="215"/>
  <c r="I58" i="215"/>
  <c r="I57" i="215"/>
  <c r="I56" i="215"/>
  <c r="I55" i="215"/>
  <c r="I54" i="215"/>
  <c r="I52" i="215"/>
  <c r="C52" i="215"/>
  <c r="I51" i="215"/>
  <c r="I64" i="215" l="1"/>
  <c r="I290" i="215"/>
  <c r="H40" i="215" l="1"/>
  <c r="I152" i="215"/>
  <c r="I142" i="215"/>
  <c r="I15" i="215"/>
  <c r="I380" i="215"/>
  <c r="I206" i="215"/>
  <c r="I205" i="215"/>
  <c r="I178" i="215"/>
  <c r="I347" i="215"/>
  <c r="I346" i="215"/>
  <c r="I317" i="215"/>
  <c r="I292" i="215"/>
  <c r="J292" i="215" s="1"/>
  <c r="I291" i="215"/>
  <c r="I392" i="215"/>
  <c r="I390" i="215" s="1"/>
  <c r="I369" i="215"/>
  <c r="J369" i="215" s="1"/>
  <c r="N369" i="215" s="1"/>
  <c r="O369" i="215" s="1"/>
  <c r="I329" i="215"/>
  <c r="J329" i="215" s="1"/>
  <c r="I305" i="215"/>
  <c r="J305" i="215" s="1"/>
  <c r="N305" i="215" s="1"/>
  <c r="O305" i="215" s="1"/>
  <c r="I193" i="215"/>
  <c r="I190" i="215" s="1"/>
  <c r="I304" i="215"/>
  <c r="I381" i="215"/>
  <c r="J381" i="215" s="1"/>
  <c r="I261" i="215"/>
  <c r="J261" i="215" s="1"/>
  <c r="L261" i="215" s="1"/>
  <c r="M261" i="215" s="1"/>
  <c r="I260" i="215"/>
  <c r="I207" i="215"/>
  <c r="J207" i="215" s="1"/>
  <c r="N207" i="215" s="1"/>
  <c r="O207" i="215" s="1"/>
  <c r="I204" i="215"/>
  <c r="I200" i="215"/>
  <c r="I197" i="215"/>
  <c r="I188" i="215"/>
  <c r="I187" i="215" s="1"/>
  <c r="I162" i="215"/>
  <c r="I22" i="215"/>
  <c r="G57" i="215"/>
  <c r="G56" i="215"/>
  <c r="G55" i="215"/>
  <c r="J55" i="215" s="1"/>
  <c r="K55" i="215" s="1"/>
  <c r="G54" i="215"/>
  <c r="J54" i="215" s="1"/>
  <c r="G141" i="215"/>
  <c r="I148" i="215"/>
  <c r="G338" i="215"/>
  <c r="I342" i="215"/>
  <c r="J342" i="215" s="1"/>
  <c r="N342" i="215" s="1"/>
  <c r="O342" i="215" s="1"/>
  <c r="N358" i="215"/>
  <c r="O358" i="215" s="1"/>
  <c r="L358" i="215"/>
  <c r="J328" i="215"/>
  <c r="J330" i="215"/>
  <c r="H148" i="215"/>
  <c r="J118" i="215"/>
  <c r="N118" i="215" s="1"/>
  <c r="O118" i="215" s="1"/>
  <c r="J84" i="215"/>
  <c r="L84" i="215" s="1"/>
  <c r="N84" i="215"/>
  <c r="O84" i="215"/>
  <c r="J75" i="215"/>
  <c r="L75" i="215"/>
  <c r="N75" i="215"/>
  <c r="O75" i="215" s="1"/>
  <c r="J73" i="215"/>
  <c r="L73" i="215" s="1"/>
  <c r="N73" i="215"/>
  <c r="O73" i="215" s="1"/>
  <c r="H88" i="215"/>
  <c r="J88" i="215"/>
  <c r="K88" i="215"/>
  <c r="J91" i="215"/>
  <c r="L91" i="215"/>
  <c r="N91" i="215"/>
  <c r="O91" i="215"/>
  <c r="J92" i="215"/>
  <c r="N92" i="215" s="1"/>
  <c r="O92" i="215" s="1"/>
  <c r="L92" i="215"/>
  <c r="J95" i="215"/>
  <c r="N95" i="215" s="1"/>
  <c r="O95" i="215" s="1"/>
  <c r="L95" i="215"/>
  <c r="J99" i="215"/>
  <c r="I267" i="215"/>
  <c r="J267" i="215" s="1"/>
  <c r="N267" i="215" s="1"/>
  <c r="O267" i="215" s="1"/>
  <c r="I266" i="215"/>
  <c r="J266" i="215" s="1"/>
  <c r="I203" i="215"/>
  <c r="J203" i="215" s="1"/>
  <c r="L203" i="215" s="1"/>
  <c r="M203" i="215" s="1"/>
  <c r="I163" i="215"/>
  <c r="I158" i="215" s="1"/>
  <c r="I147" i="215"/>
  <c r="J147" i="215" s="1"/>
  <c r="N147" i="215" s="1"/>
  <c r="O147" i="215" s="1"/>
  <c r="I21" i="215"/>
  <c r="J21" i="215" s="1"/>
  <c r="I288" i="215"/>
  <c r="J288" i="215" s="1"/>
  <c r="I300" i="215"/>
  <c r="J300" i="215" s="1"/>
  <c r="N300" i="215" s="1"/>
  <c r="O300" i="215" s="1"/>
  <c r="I314" i="215"/>
  <c r="I378" i="215"/>
  <c r="J378" i="215" s="1"/>
  <c r="N378" i="215" s="1"/>
  <c r="O378" i="215" s="1"/>
  <c r="I389" i="215"/>
  <c r="J389" i="215" s="1"/>
  <c r="I326" i="215"/>
  <c r="J326" i="215" s="1"/>
  <c r="N326" i="215" s="1"/>
  <c r="O326" i="215" s="1"/>
  <c r="I355" i="215"/>
  <c r="I60" i="215"/>
  <c r="L241" i="215"/>
  <c r="L242" i="215"/>
  <c r="N242" i="215"/>
  <c r="O242" i="215" s="1"/>
  <c r="L243" i="215"/>
  <c r="M243" i="215" s="1"/>
  <c r="N243" i="215"/>
  <c r="O243" i="215" s="1"/>
  <c r="L244" i="215"/>
  <c r="N244" i="215"/>
  <c r="O244" i="215"/>
  <c r="L246" i="215"/>
  <c r="N246" i="215"/>
  <c r="O246" i="215" s="1"/>
  <c r="L247" i="215"/>
  <c r="N247" i="215"/>
  <c r="O247" i="215" s="1"/>
  <c r="L248" i="215"/>
  <c r="M248" i="215" s="1"/>
  <c r="N248" i="215"/>
  <c r="O248" i="215" s="1"/>
  <c r="N250" i="215"/>
  <c r="O250" i="215"/>
  <c r="H232" i="215"/>
  <c r="J232" i="215"/>
  <c r="K232" i="215" s="1"/>
  <c r="L232" i="215"/>
  <c r="M232" i="215"/>
  <c r="N232" i="215"/>
  <c r="O232" i="215"/>
  <c r="J233" i="215"/>
  <c r="H234" i="215"/>
  <c r="J234" i="215"/>
  <c r="K234" i="215" s="1"/>
  <c r="H235" i="215"/>
  <c r="J235" i="215"/>
  <c r="L235" i="215" s="1"/>
  <c r="M235" i="215" s="1"/>
  <c r="J236" i="215"/>
  <c r="K236" i="215" s="1"/>
  <c r="H237" i="215"/>
  <c r="J237" i="215"/>
  <c r="N237" i="215" s="1"/>
  <c r="O237" i="215" s="1"/>
  <c r="G226" i="215"/>
  <c r="I226" i="215"/>
  <c r="J226" i="215"/>
  <c r="L226" i="215"/>
  <c r="M226" i="215" s="1"/>
  <c r="N226" i="215"/>
  <c r="O226" i="215" s="1"/>
  <c r="G224" i="215"/>
  <c r="I224" i="215"/>
  <c r="J224" i="215"/>
  <c r="N224" i="215" s="1"/>
  <c r="O224" i="215" s="1"/>
  <c r="G225" i="215"/>
  <c r="J225" i="215" s="1"/>
  <c r="I225" i="215"/>
  <c r="J220" i="215"/>
  <c r="N220" i="215"/>
  <c r="O220" i="215" s="1"/>
  <c r="J221" i="215"/>
  <c r="H213" i="215"/>
  <c r="J213" i="215"/>
  <c r="K213" i="215" s="1"/>
  <c r="L213" i="215"/>
  <c r="M213" i="215"/>
  <c r="N213" i="215"/>
  <c r="O213" i="215"/>
  <c r="H214" i="215"/>
  <c r="J214" i="215"/>
  <c r="K214" i="215" s="1"/>
  <c r="L214" i="215"/>
  <c r="M214" i="215" s="1"/>
  <c r="J164" i="215"/>
  <c r="L164" i="215" s="1"/>
  <c r="H170" i="215"/>
  <c r="J170" i="215"/>
  <c r="K170" i="215"/>
  <c r="L170" i="215"/>
  <c r="M170" i="215"/>
  <c r="N170" i="215"/>
  <c r="O170" i="215"/>
  <c r="J129" i="215"/>
  <c r="J125" i="215"/>
  <c r="J126" i="215"/>
  <c r="L126" i="215"/>
  <c r="N126" i="215"/>
  <c r="O126" i="215" s="1"/>
  <c r="J122" i="215"/>
  <c r="L122" i="215"/>
  <c r="N122" i="215"/>
  <c r="O122" i="215"/>
  <c r="H132" i="215"/>
  <c r="J132" i="215"/>
  <c r="L132" i="215" s="1"/>
  <c r="M132" i="215" s="1"/>
  <c r="K132" i="215"/>
  <c r="J133" i="215"/>
  <c r="N133" i="215" s="1"/>
  <c r="O133" i="215" s="1"/>
  <c r="G62" i="215"/>
  <c r="G61" i="215"/>
  <c r="J61" i="215" s="1"/>
  <c r="L61" i="215" s="1"/>
  <c r="M61" i="215" s="1"/>
  <c r="G60" i="215"/>
  <c r="G58" i="215"/>
  <c r="G53" i="215"/>
  <c r="G52" i="215"/>
  <c r="G51" i="215"/>
  <c r="J393" i="215"/>
  <c r="L393" i="215" s="1"/>
  <c r="E393" i="215"/>
  <c r="N393" i="215" s="1"/>
  <c r="O393" i="215" s="1"/>
  <c r="E392" i="215"/>
  <c r="J391" i="215"/>
  <c r="N391" i="215" s="1"/>
  <c r="O391" i="215" s="1"/>
  <c r="G390" i="215"/>
  <c r="H390" i="215" s="1"/>
  <c r="H389" i="215"/>
  <c r="J388" i="215"/>
  <c r="L388" i="215" s="1"/>
  <c r="M388" i="215" s="1"/>
  <c r="H388" i="215"/>
  <c r="J387" i="215"/>
  <c r="N387" i="215" s="1"/>
  <c r="O387" i="215" s="1"/>
  <c r="H387" i="215"/>
  <c r="J386" i="215"/>
  <c r="H386" i="215"/>
  <c r="J385" i="215"/>
  <c r="H385" i="215"/>
  <c r="J384" i="215"/>
  <c r="N384" i="215" s="1"/>
  <c r="O384" i="215" s="1"/>
  <c r="H384" i="215"/>
  <c r="F383" i="215"/>
  <c r="J380" i="215"/>
  <c r="N380" i="215" s="1"/>
  <c r="O380" i="215" s="1"/>
  <c r="G379" i="215"/>
  <c r="E379" i="215"/>
  <c r="H378" i="215"/>
  <c r="J377" i="215"/>
  <c r="J376" i="215"/>
  <c r="H376" i="215"/>
  <c r="J375" i="215"/>
  <c r="H375" i="215"/>
  <c r="J374" i="215"/>
  <c r="H374" i="215"/>
  <c r="J373" i="215"/>
  <c r="H373" i="215"/>
  <c r="J372" i="215"/>
  <c r="N372" i="215" s="1"/>
  <c r="O372" i="215" s="1"/>
  <c r="H372" i="215"/>
  <c r="F371" i="215"/>
  <c r="J368" i="215"/>
  <c r="E368" i="215"/>
  <c r="E367" i="215" s="1"/>
  <c r="I367" i="215"/>
  <c r="I362" i="215" s="1"/>
  <c r="H367" i="215"/>
  <c r="J366" i="215"/>
  <c r="N366" i="215" s="1"/>
  <c r="O366" i="215" s="1"/>
  <c r="H366" i="215"/>
  <c r="J365" i="215"/>
  <c r="N365" i="215" s="1"/>
  <c r="O365" i="215" s="1"/>
  <c r="H365" i="215"/>
  <c r="J364" i="215"/>
  <c r="H364" i="215"/>
  <c r="J363" i="215"/>
  <c r="K363" i="215" s="1"/>
  <c r="H363" i="215"/>
  <c r="G362" i="215"/>
  <c r="F362" i="215"/>
  <c r="J360" i="215"/>
  <c r="E360" i="215"/>
  <c r="J359" i="215"/>
  <c r="L359" i="215" s="1"/>
  <c r="E359" i="215"/>
  <c r="J357" i="215"/>
  <c r="L357" i="215" s="1"/>
  <c r="I356" i="215"/>
  <c r="G356" i="215"/>
  <c r="J356" i="215" s="1"/>
  <c r="E356" i="215"/>
  <c r="E349" i="215" s="1"/>
  <c r="H355" i="215"/>
  <c r="J354" i="215"/>
  <c r="K354" i="215" s="1"/>
  <c r="H354" i="215"/>
  <c r="J353" i="215"/>
  <c r="H353" i="215"/>
  <c r="J352" i="215"/>
  <c r="H352" i="215"/>
  <c r="J351" i="215"/>
  <c r="N351" i="215" s="1"/>
  <c r="O351" i="215" s="1"/>
  <c r="H351" i="215"/>
  <c r="J350" i="215"/>
  <c r="L350" i="215" s="1"/>
  <c r="M350" i="215" s="1"/>
  <c r="H350" i="215"/>
  <c r="F349" i="215"/>
  <c r="J347" i="215"/>
  <c r="N347" i="215" s="1"/>
  <c r="O347" i="215" s="1"/>
  <c r="J346" i="215"/>
  <c r="J345" i="215"/>
  <c r="I344" i="215"/>
  <c r="G344" i="215"/>
  <c r="H344" i="215" s="1"/>
  <c r="E344" i="215"/>
  <c r="J343" i="215"/>
  <c r="N343" i="215" s="1"/>
  <c r="O343" i="215" s="1"/>
  <c r="J341" i="215"/>
  <c r="N341" i="215" s="1"/>
  <c r="O341" i="215" s="1"/>
  <c r="J340" i="215"/>
  <c r="N340" i="215" s="1"/>
  <c r="O340" i="215" s="1"/>
  <c r="J339" i="215"/>
  <c r="L339" i="215" s="1"/>
  <c r="E338" i="215"/>
  <c r="E332" i="215" s="1"/>
  <c r="J337" i="215"/>
  <c r="H337" i="215"/>
  <c r="J336" i="215"/>
  <c r="N336" i="215" s="1"/>
  <c r="O336" i="215" s="1"/>
  <c r="H336" i="215"/>
  <c r="J335" i="215"/>
  <c r="K335" i="215" s="1"/>
  <c r="H335" i="215"/>
  <c r="J334" i="215"/>
  <c r="N334" i="215" s="1"/>
  <c r="O334" i="215" s="1"/>
  <c r="H334" i="215"/>
  <c r="J333" i="215"/>
  <c r="H333" i="215"/>
  <c r="F332" i="215"/>
  <c r="E330" i="215"/>
  <c r="E329" i="215"/>
  <c r="E328" i="215"/>
  <c r="N328" i="215" s="1"/>
  <c r="O328" i="215" s="1"/>
  <c r="G327" i="215"/>
  <c r="G320" i="215" s="1"/>
  <c r="H326" i="215"/>
  <c r="J325" i="215"/>
  <c r="L325" i="215" s="1"/>
  <c r="M325" i="215" s="1"/>
  <c r="H325" i="215"/>
  <c r="J324" i="215"/>
  <c r="L324" i="215" s="1"/>
  <c r="M324" i="215" s="1"/>
  <c r="H324" i="215"/>
  <c r="J323" i="215"/>
  <c r="N323" i="215" s="1"/>
  <c r="O323" i="215" s="1"/>
  <c r="H323" i="215"/>
  <c r="L322" i="215"/>
  <c r="M322" i="215" s="1"/>
  <c r="J322" i="215"/>
  <c r="K322" i="215" s="1"/>
  <c r="H322" i="215"/>
  <c r="J321" i="215"/>
  <c r="L321" i="215" s="1"/>
  <c r="M321" i="215" s="1"/>
  <c r="H321" i="215"/>
  <c r="F320" i="215"/>
  <c r="J318" i="215"/>
  <c r="N318" i="215" s="1"/>
  <c r="O318" i="215" s="1"/>
  <c r="J317" i="215"/>
  <c r="N317" i="215" s="1"/>
  <c r="O317" i="215" s="1"/>
  <c r="J316" i="215"/>
  <c r="N316" i="215" s="1"/>
  <c r="O316" i="215" s="1"/>
  <c r="I315" i="215"/>
  <c r="I307" i="215" s="1"/>
  <c r="G315" i="215"/>
  <c r="H315" i="215" s="1"/>
  <c r="E315" i="215"/>
  <c r="J314" i="215"/>
  <c r="N314" i="215" s="1"/>
  <c r="O314" i="215" s="1"/>
  <c r="H314" i="215"/>
  <c r="J313" i="215"/>
  <c r="H313" i="215"/>
  <c r="J312" i="215"/>
  <c r="N312" i="215" s="1"/>
  <c r="O312" i="215" s="1"/>
  <c r="J311" i="215"/>
  <c r="H311" i="215"/>
  <c r="J310" i="215"/>
  <c r="L310" i="215" s="1"/>
  <c r="M310" i="215" s="1"/>
  <c r="H310" i="215"/>
  <c r="J309" i="215"/>
  <c r="H309" i="215"/>
  <c r="J308" i="215"/>
  <c r="H308" i="215"/>
  <c r="F307" i="215"/>
  <c r="J303" i="215"/>
  <c r="N303" i="215" s="1"/>
  <c r="O303" i="215" s="1"/>
  <c r="G302" i="215"/>
  <c r="H302" i="215" s="1"/>
  <c r="E302" i="215"/>
  <c r="E294" i="215" s="1"/>
  <c r="J301" i="215"/>
  <c r="N301" i="215" s="1"/>
  <c r="O301" i="215" s="1"/>
  <c r="H300" i="215"/>
  <c r="J299" i="215"/>
  <c r="N299" i="215" s="1"/>
  <c r="O299" i="215" s="1"/>
  <c r="H299" i="215"/>
  <c r="J298" i="215"/>
  <c r="H298" i="215"/>
  <c r="J297" i="215"/>
  <c r="N297" i="215" s="1"/>
  <c r="O297" i="215" s="1"/>
  <c r="H297" i="215"/>
  <c r="J296" i="215"/>
  <c r="L296" i="215" s="1"/>
  <c r="M296" i="215" s="1"/>
  <c r="H296" i="215"/>
  <c r="J295" i="215"/>
  <c r="N295" i="215" s="1"/>
  <c r="O295" i="215" s="1"/>
  <c r="H295" i="215"/>
  <c r="F294" i="215"/>
  <c r="E292" i="215"/>
  <c r="J290" i="215"/>
  <c r="N290" i="215" s="1"/>
  <c r="O290" i="215" s="1"/>
  <c r="G289" i="215"/>
  <c r="H289" i="215" s="1"/>
  <c r="H288" i="215"/>
  <c r="J287" i="215"/>
  <c r="N287" i="215" s="1"/>
  <c r="O287" i="215" s="1"/>
  <c r="H287" i="215"/>
  <c r="J286" i="215"/>
  <c r="N286" i="215" s="1"/>
  <c r="O286" i="215" s="1"/>
  <c r="H286" i="215"/>
  <c r="J285" i="215"/>
  <c r="N285" i="215" s="1"/>
  <c r="O285" i="215" s="1"/>
  <c r="H285" i="215"/>
  <c r="J284" i="215"/>
  <c r="N284" i="215" s="1"/>
  <c r="O284" i="215" s="1"/>
  <c r="H284" i="215"/>
  <c r="J283" i="215"/>
  <c r="L283" i="215" s="1"/>
  <c r="M283" i="215" s="1"/>
  <c r="H283" i="215"/>
  <c r="F282" i="215"/>
  <c r="J278" i="215"/>
  <c r="K278" i="215" s="1"/>
  <c r="H278" i="215"/>
  <c r="I277" i="215"/>
  <c r="G277" i="215"/>
  <c r="F277" i="215"/>
  <c r="E277" i="215"/>
  <c r="N275" i="215"/>
  <c r="O275" i="215" s="1"/>
  <c r="L275" i="215"/>
  <c r="J274" i="215"/>
  <c r="H274" i="215"/>
  <c r="I273" i="215"/>
  <c r="G273" i="215"/>
  <c r="F273" i="215"/>
  <c r="E273" i="215"/>
  <c r="J271" i="215"/>
  <c r="N271" i="215" s="1"/>
  <c r="O271" i="215" s="1"/>
  <c r="H271" i="215"/>
  <c r="I270" i="215"/>
  <c r="G270" i="215"/>
  <c r="F270" i="215"/>
  <c r="E270" i="215"/>
  <c r="H267" i="215"/>
  <c r="H266" i="215"/>
  <c r="J265" i="215"/>
  <c r="H265" i="215"/>
  <c r="I264" i="215"/>
  <c r="G264" i="215"/>
  <c r="F264" i="215"/>
  <c r="F252" i="215" s="1"/>
  <c r="E264" i="215"/>
  <c r="J262" i="215"/>
  <c r="N262" i="215" s="1"/>
  <c r="O262" i="215" s="1"/>
  <c r="H262" i="215"/>
  <c r="H261" i="215"/>
  <c r="H260" i="215"/>
  <c r="G259" i="215"/>
  <c r="F259" i="215"/>
  <c r="E259" i="215"/>
  <c r="J257" i="215"/>
  <c r="N257" i="215" s="1"/>
  <c r="O257" i="215" s="1"/>
  <c r="H257" i="215"/>
  <c r="J256" i="215"/>
  <c r="N256" i="215" s="1"/>
  <c r="O256" i="215" s="1"/>
  <c r="H256" i="215"/>
  <c r="J255" i="215"/>
  <c r="N255" i="215" s="1"/>
  <c r="O255" i="215" s="1"/>
  <c r="H255" i="215"/>
  <c r="J254" i="215"/>
  <c r="K254" i="215" s="1"/>
  <c r="H254" i="215"/>
  <c r="I253" i="215"/>
  <c r="G253" i="215"/>
  <c r="H253" i="215" s="1"/>
  <c r="F253" i="215"/>
  <c r="E253" i="215"/>
  <c r="J250" i="215"/>
  <c r="L250" i="215" s="1"/>
  <c r="J249" i="215"/>
  <c r="E246" i="215"/>
  <c r="J245" i="215"/>
  <c r="J242" i="215"/>
  <c r="E241" i="215"/>
  <c r="E240" i="215" s="1"/>
  <c r="I240" i="215"/>
  <c r="I239" i="215" s="1"/>
  <c r="G240" i="215"/>
  <c r="G239" i="215" s="1"/>
  <c r="J239" i="215" s="1"/>
  <c r="F240" i="215"/>
  <c r="F239" i="215" s="1"/>
  <c r="F236" i="215"/>
  <c r="H236" i="215" s="1"/>
  <c r="E236" i="215"/>
  <c r="F233" i="215"/>
  <c r="L233" i="215" s="1"/>
  <c r="M233" i="215" s="1"/>
  <c r="E233" i="215"/>
  <c r="N233" i="215" s="1"/>
  <c r="O233" i="215" s="1"/>
  <c r="J231" i="215"/>
  <c r="N231" i="215" s="1"/>
  <c r="O231" i="215" s="1"/>
  <c r="H231" i="215"/>
  <c r="J230" i="215"/>
  <c r="L230" i="215" s="1"/>
  <c r="M230" i="215" s="1"/>
  <c r="H230" i="215"/>
  <c r="J229" i="215"/>
  <c r="N229" i="215" s="1"/>
  <c r="O229" i="215" s="1"/>
  <c r="H229" i="215"/>
  <c r="I228" i="215"/>
  <c r="I223" i="215" s="1"/>
  <c r="G228" i="215"/>
  <c r="J228" i="215" s="1"/>
  <c r="F228" i="215"/>
  <c r="E228" i="215"/>
  <c r="J227" i="215"/>
  <c r="L227" i="215" s="1"/>
  <c r="M227" i="215" s="1"/>
  <c r="H227" i="215"/>
  <c r="I222" i="215"/>
  <c r="G222" i="215"/>
  <c r="E222" i="215"/>
  <c r="F220" i="215"/>
  <c r="L220" i="215" s="1"/>
  <c r="M220" i="215" s="1"/>
  <c r="E220" i="215"/>
  <c r="J219" i="215"/>
  <c r="N219" i="215" s="1"/>
  <c r="O219" i="215" s="1"/>
  <c r="J218" i="215"/>
  <c r="L218" i="215" s="1"/>
  <c r="I217" i="215"/>
  <c r="G217" i="215"/>
  <c r="J217" i="215" s="1"/>
  <c r="F217" i="215"/>
  <c r="E217" i="215"/>
  <c r="J212" i="215"/>
  <c r="N212" i="215" s="1"/>
  <c r="O212" i="215" s="1"/>
  <c r="H212" i="215"/>
  <c r="I211" i="215"/>
  <c r="G211" i="215"/>
  <c r="F211" i="215"/>
  <c r="E211" i="215"/>
  <c r="E210" i="215" s="1"/>
  <c r="N210" i="215" s="1"/>
  <c r="O210" i="215" s="1"/>
  <c r="I210" i="215"/>
  <c r="G210" i="215"/>
  <c r="J210" i="215" s="1"/>
  <c r="F210" i="215"/>
  <c r="J206" i="215"/>
  <c r="N206" i="215" s="1"/>
  <c r="O206" i="215" s="1"/>
  <c r="J205" i="215"/>
  <c r="N205" i="215" s="1"/>
  <c r="O205" i="215" s="1"/>
  <c r="G204" i="215"/>
  <c r="H204" i="215" s="1"/>
  <c r="E204" i="215"/>
  <c r="H203" i="215"/>
  <c r="F202" i="215"/>
  <c r="H200" i="215"/>
  <c r="G199" i="215"/>
  <c r="F199" i="215"/>
  <c r="E199" i="215"/>
  <c r="J197" i="215"/>
  <c r="K197" i="215" s="1"/>
  <c r="H197" i="215"/>
  <c r="I196" i="215"/>
  <c r="J196" i="215" s="1"/>
  <c r="K196" i="215" s="1"/>
  <c r="G196" i="215"/>
  <c r="F196" i="215"/>
  <c r="E196" i="215"/>
  <c r="J194" i="215"/>
  <c r="H194" i="215"/>
  <c r="H193" i="215"/>
  <c r="J192" i="215"/>
  <c r="H192" i="215"/>
  <c r="J191" i="215"/>
  <c r="G190" i="215"/>
  <c r="F190" i="215"/>
  <c r="E190" i="215"/>
  <c r="J188" i="215"/>
  <c r="K188" i="215" s="1"/>
  <c r="H188" i="215"/>
  <c r="G187" i="215"/>
  <c r="F187" i="215"/>
  <c r="E187" i="215"/>
  <c r="I185" i="215"/>
  <c r="J185" i="215" s="1"/>
  <c r="H185" i="215"/>
  <c r="I184" i="215"/>
  <c r="G184" i="215"/>
  <c r="F184" i="215"/>
  <c r="E184" i="215"/>
  <c r="J182" i="215"/>
  <c r="H182" i="215"/>
  <c r="I181" i="215"/>
  <c r="G181" i="215"/>
  <c r="F181" i="215"/>
  <c r="E181" i="215"/>
  <c r="J178" i="215"/>
  <c r="L178" i="215" s="1"/>
  <c r="M178" i="215" s="1"/>
  <c r="H178" i="215"/>
  <c r="J177" i="215"/>
  <c r="H177" i="215"/>
  <c r="I176" i="215"/>
  <c r="G176" i="215"/>
  <c r="F176" i="215"/>
  <c r="E176" i="215"/>
  <c r="J174" i="215"/>
  <c r="H174" i="215"/>
  <c r="J173" i="215"/>
  <c r="K173" i="215" s="1"/>
  <c r="H173" i="215"/>
  <c r="J172" i="215"/>
  <c r="N172" i="215" s="1"/>
  <c r="O172" i="215" s="1"/>
  <c r="H172" i="215"/>
  <c r="J171" i="215"/>
  <c r="L171" i="215" s="1"/>
  <c r="M171" i="215" s="1"/>
  <c r="H171" i="215"/>
  <c r="J169" i="215"/>
  <c r="K169" i="215" s="1"/>
  <c r="H169" i="215"/>
  <c r="J168" i="215"/>
  <c r="H168" i="215"/>
  <c r="J167" i="215"/>
  <c r="H167" i="215"/>
  <c r="I166" i="215"/>
  <c r="G166" i="215"/>
  <c r="F166" i="215"/>
  <c r="F157" i="215" s="1"/>
  <c r="E166" i="215"/>
  <c r="J163" i="215"/>
  <c r="H163" i="215"/>
  <c r="J162" i="215"/>
  <c r="N162" i="215" s="1"/>
  <c r="O162" i="215" s="1"/>
  <c r="H162" i="215"/>
  <c r="J161" i="215"/>
  <c r="H161" i="215"/>
  <c r="J160" i="215"/>
  <c r="K160" i="215" s="1"/>
  <c r="H160" i="215"/>
  <c r="J159" i="215"/>
  <c r="H159" i="215"/>
  <c r="G158" i="215"/>
  <c r="F158" i="215"/>
  <c r="E158" i="215"/>
  <c r="J155" i="215"/>
  <c r="N155" i="215" s="1"/>
  <c r="O155" i="215" s="1"/>
  <c r="H155" i="215"/>
  <c r="N154" i="215"/>
  <c r="O154" i="215" s="1"/>
  <c r="L154" i="215"/>
  <c r="M154" i="215" s="1"/>
  <c r="J154" i="215"/>
  <c r="K154" i="215" s="1"/>
  <c r="H154" i="215"/>
  <c r="J153" i="215"/>
  <c r="N153" i="215" s="1"/>
  <c r="O153" i="215" s="1"/>
  <c r="H153" i="215"/>
  <c r="J152" i="215"/>
  <c r="N152" i="215" s="1"/>
  <c r="O152" i="215" s="1"/>
  <c r="H152" i="215"/>
  <c r="I151" i="215"/>
  <c r="I150" i="215" s="1"/>
  <c r="G151" i="215"/>
  <c r="F151" i="215"/>
  <c r="E151" i="215"/>
  <c r="E150" i="215"/>
  <c r="H147" i="215"/>
  <c r="J146" i="215"/>
  <c r="N146" i="215" s="1"/>
  <c r="O146" i="215" s="1"/>
  <c r="H146" i="215"/>
  <c r="J145" i="215"/>
  <c r="H145" i="215"/>
  <c r="J144" i="215"/>
  <c r="N144" i="215" s="1"/>
  <c r="O144" i="215" s="1"/>
  <c r="H144" i="215"/>
  <c r="J143" i="215"/>
  <c r="N143" i="215" s="1"/>
  <c r="O143" i="215" s="1"/>
  <c r="J142" i="215"/>
  <c r="H142" i="215"/>
  <c r="F141" i="215"/>
  <c r="E141" i="215"/>
  <c r="J139" i="215"/>
  <c r="N139" i="215" s="1"/>
  <c r="O139" i="215" s="1"/>
  <c r="H139" i="215"/>
  <c r="J138" i="215"/>
  <c r="N138" i="215" s="1"/>
  <c r="O138" i="215" s="1"/>
  <c r="H138" i="215"/>
  <c r="J137" i="215"/>
  <c r="L137" i="215" s="1"/>
  <c r="M137" i="215" s="1"/>
  <c r="H137" i="215"/>
  <c r="J136" i="215"/>
  <c r="H136" i="215"/>
  <c r="I135" i="215"/>
  <c r="G135" i="215"/>
  <c r="J135" i="215" s="1"/>
  <c r="F135" i="215"/>
  <c r="L135" i="215" s="1"/>
  <c r="M135" i="215" s="1"/>
  <c r="E135" i="215"/>
  <c r="N135" i="215" s="1"/>
  <c r="O135" i="215" s="1"/>
  <c r="J131" i="215"/>
  <c r="K131" i="215" s="1"/>
  <c r="H131" i="215"/>
  <c r="J130" i="215"/>
  <c r="L130" i="215" s="1"/>
  <c r="M130" i="215" s="1"/>
  <c r="H130" i="215"/>
  <c r="J128" i="215"/>
  <c r="K128" i="215" s="1"/>
  <c r="H128" i="215"/>
  <c r="J127" i="215"/>
  <c r="H127" i="215"/>
  <c r="J124" i="215"/>
  <c r="N124" i="215" s="1"/>
  <c r="O124" i="215" s="1"/>
  <c r="H124" i="215"/>
  <c r="J123" i="215"/>
  <c r="K123" i="215" s="1"/>
  <c r="H123" i="215"/>
  <c r="J121" i="215"/>
  <c r="L121" i="215" s="1"/>
  <c r="M121" i="215" s="1"/>
  <c r="H121" i="215"/>
  <c r="J120" i="215"/>
  <c r="N120" i="215" s="1"/>
  <c r="O120" i="215" s="1"/>
  <c r="H120" i="215"/>
  <c r="J119" i="215"/>
  <c r="N119" i="215" s="1"/>
  <c r="O119" i="215" s="1"/>
  <c r="H119" i="215"/>
  <c r="J117" i="215"/>
  <c r="H117" i="215"/>
  <c r="J116" i="215"/>
  <c r="H116" i="215"/>
  <c r="J115" i="215"/>
  <c r="N115" i="215" s="1"/>
  <c r="O115" i="215" s="1"/>
  <c r="H115" i="215"/>
  <c r="N114" i="215"/>
  <c r="O114" i="215" s="1"/>
  <c r="L114" i="215"/>
  <c r="M114" i="215" s="1"/>
  <c r="J114" i="215"/>
  <c r="K114" i="215" s="1"/>
  <c r="H114" i="215"/>
  <c r="I113" i="215"/>
  <c r="G113" i="215"/>
  <c r="J113" i="215" s="1"/>
  <c r="F113" i="215"/>
  <c r="L113" i="215" s="1"/>
  <c r="M113" i="215" s="1"/>
  <c r="E113" i="215"/>
  <c r="N113" i="215" s="1"/>
  <c r="O113" i="215" s="1"/>
  <c r="J112" i="215"/>
  <c r="H112" i="215"/>
  <c r="J111" i="215"/>
  <c r="N111" i="215" s="1"/>
  <c r="O111" i="215" s="1"/>
  <c r="H111" i="215"/>
  <c r="J110" i="215"/>
  <c r="N110" i="215" s="1"/>
  <c r="O110" i="215" s="1"/>
  <c r="H110" i="215"/>
  <c r="J109" i="215"/>
  <c r="L109" i="215" s="1"/>
  <c r="J108" i="215"/>
  <c r="H108" i="215"/>
  <c r="J107" i="215"/>
  <c r="N107" i="215" s="1"/>
  <c r="O107" i="215" s="1"/>
  <c r="J106" i="215"/>
  <c r="H106" i="215"/>
  <c r="J105" i="215"/>
  <c r="H105" i="215"/>
  <c r="J104" i="215"/>
  <c r="N104" i="215" s="1"/>
  <c r="O104" i="215" s="1"/>
  <c r="H104" i="215"/>
  <c r="J103" i="215"/>
  <c r="H103" i="215"/>
  <c r="J102" i="215"/>
  <c r="H102" i="215"/>
  <c r="I101" i="215"/>
  <c r="G101" i="215"/>
  <c r="F101" i="215"/>
  <c r="E101" i="215"/>
  <c r="J98" i="215"/>
  <c r="K98" i="215" s="1"/>
  <c r="H98" i="215"/>
  <c r="J97" i="215"/>
  <c r="N97" i="215" s="1"/>
  <c r="O97" i="215" s="1"/>
  <c r="H97" i="215"/>
  <c r="J96" i="215"/>
  <c r="L96" i="215" s="1"/>
  <c r="M96" i="215" s="1"/>
  <c r="H96" i="215"/>
  <c r="J94" i="215"/>
  <c r="L94" i="215" s="1"/>
  <c r="M94" i="215" s="1"/>
  <c r="H94" i="215"/>
  <c r="J93" i="215"/>
  <c r="N93" i="215" s="1"/>
  <c r="O93" i="215" s="1"/>
  <c r="H93" i="215"/>
  <c r="J90" i="215"/>
  <c r="N90" i="215" s="1"/>
  <c r="O90" i="215" s="1"/>
  <c r="H90" i="215"/>
  <c r="J89" i="215"/>
  <c r="N89" i="215" s="1"/>
  <c r="O89" i="215" s="1"/>
  <c r="H89" i="215"/>
  <c r="J87" i="215"/>
  <c r="L87" i="215" s="1"/>
  <c r="M87" i="215" s="1"/>
  <c r="H87" i="215"/>
  <c r="J86" i="215"/>
  <c r="L86" i="215" s="1"/>
  <c r="M86" i="215" s="1"/>
  <c r="H86" i="215"/>
  <c r="J85" i="215"/>
  <c r="N85" i="215" s="1"/>
  <c r="O85" i="215" s="1"/>
  <c r="H85" i="215"/>
  <c r="J83" i="215"/>
  <c r="K83" i="215" s="1"/>
  <c r="H83" i="215"/>
  <c r="J82" i="215"/>
  <c r="N82" i="215" s="1"/>
  <c r="O82" i="215" s="1"/>
  <c r="H82" i="215"/>
  <c r="J81" i="215"/>
  <c r="N81" i="215" s="1"/>
  <c r="O81" i="215" s="1"/>
  <c r="H81" i="215"/>
  <c r="J80" i="215"/>
  <c r="H80" i="215"/>
  <c r="I79" i="215"/>
  <c r="G79" i="215"/>
  <c r="F79" i="215"/>
  <c r="E79" i="215"/>
  <c r="J78" i="215"/>
  <c r="K78" i="215" s="1"/>
  <c r="H78" i="215"/>
  <c r="J77" i="215"/>
  <c r="N77" i="215" s="1"/>
  <c r="O77" i="215" s="1"/>
  <c r="H77" i="215"/>
  <c r="J76" i="215"/>
  <c r="L76" i="215" s="1"/>
  <c r="M76" i="215" s="1"/>
  <c r="H76" i="215"/>
  <c r="J74" i="215"/>
  <c r="H74" i="215"/>
  <c r="J72" i="215"/>
  <c r="N72" i="215" s="1"/>
  <c r="O72" i="215" s="1"/>
  <c r="H72" i="215"/>
  <c r="J71" i="215"/>
  <c r="H71" i="215"/>
  <c r="J70" i="215"/>
  <c r="L70" i="215" s="1"/>
  <c r="M70" i="215" s="1"/>
  <c r="H70" i="215"/>
  <c r="J69" i="215"/>
  <c r="H69" i="215"/>
  <c r="J68" i="215"/>
  <c r="N68" i="215" s="1"/>
  <c r="O68" i="215" s="1"/>
  <c r="H68" i="215"/>
  <c r="I67" i="215"/>
  <c r="G67" i="215"/>
  <c r="F67" i="215"/>
  <c r="E67" i="215"/>
  <c r="J65" i="215"/>
  <c r="L65" i="215" s="1"/>
  <c r="M65" i="215" s="1"/>
  <c r="H65" i="215"/>
  <c r="J64" i="215"/>
  <c r="K64" i="215" s="1"/>
  <c r="H64" i="215"/>
  <c r="I63" i="215"/>
  <c r="G63" i="215"/>
  <c r="F63" i="215"/>
  <c r="E63" i="215"/>
  <c r="J59" i="215"/>
  <c r="H59" i="215"/>
  <c r="F50" i="215"/>
  <c r="E50" i="215"/>
  <c r="J44" i="215"/>
  <c r="N44" i="215" s="1"/>
  <c r="O44" i="215" s="1"/>
  <c r="F44" i="215"/>
  <c r="H44" i="215" s="1"/>
  <c r="J43" i="215"/>
  <c r="N43" i="215" s="1"/>
  <c r="O43" i="215" s="1"/>
  <c r="J42" i="215"/>
  <c r="N42" i="215" s="1"/>
  <c r="O42" i="215" s="1"/>
  <c r="H42" i="215"/>
  <c r="J41" i="215"/>
  <c r="L41" i="215" s="1"/>
  <c r="J40" i="215"/>
  <c r="N40" i="215" s="1"/>
  <c r="O40" i="215" s="1"/>
  <c r="J39" i="215"/>
  <c r="K39" i="215" s="1"/>
  <c r="H39" i="215"/>
  <c r="I38" i="215"/>
  <c r="G38" i="215"/>
  <c r="E38" i="215"/>
  <c r="J36" i="215"/>
  <c r="N36" i="215" s="1"/>
  <c r="O36" i="215" s="1"/>
  <c r="J35" i="215"/>
  <c r="N35" i="215" s="1"/>
  <c r="O35" i="215" s="1"/>
  <c r="J34" i="215"/>
  <c r="N34" i="215" s="1"/>
  <c r="O34" i="215" s="1"/>
  <c r="J33" i="215"/>
  <c r="N33" i="215" s="1"/>
  <c r="O33" i="215" s="1"/>
  <c r="J32" i="215"/>
  <c r="N32" i="215" s="1"/>
  <c r="O32" i="215" s="1"/>
  <c r="I31" i="215"/>
  <c r="G31" i="215"/>
  <c r="J31" i="215" s="1"/>
  <c r="F31" i="215"/>
  <c r="E31" i="215"/>
  <c r="J29" i="215"/>
  <c r="J28" i="215"/>
  <c r="N28" i="215" s="1"/>
  <c r="O28" i="215" s="1"/>
  <c r="J27" i="215"/>
  <c r="N27" i="215" s="1"/>
  <c r="O27" i="215" s="1"/>
  <c r="J26" i="215"/>
  <c r="N26" i="215" s="1"/>
  <c r="O26" i="215" s="1"/>
  <c r="J25" i="215"/>
  <c r="N25" i="215" s="1"/>
  <c r="I24" i="215"/>
  <c r="G24" i="215"/>
  <c r="F24" i="215"/>
  <c r="E24" i="215"/>
  <c r="J22" i="215"/>
  <c r="L22" i="215" s="1"/>
  <c r="M22" i="215" s="1"/>
  <c r="H22" i="215"/>
  <c r="H21" i="215"/>
  <c r="J20" i="215"/>
  <c r="N20" i="215" s="1"/>
  <c r="O20" i="215" s="1"/>
  <c r="J19" i="215"/>
  <c r="L19" i="215" s="1"/>
  <c r="J18" i="215"/>
  <c r="L18" i="215" s="1"/>
  <c r="M18" i="215" s="1"/>
  <c r="H18" i="215"/>
  <c r="J17" i="215"/>
  <c r="N17" i="215" s="1"/>
  <c r="O17" i="215" s="1"/>
  <c r="H17" i="215"/>
  <c r="J16" i="215"/>
  <c r="K16" i="215" s="1"/>
  <c r="H16" i="215"/>
  <c r="J15" i="215"/>
  <c r="H15" i="215"/>
  <c r="G14" i="215"/>
  <c r="F14" i="215"/>
  <c r="E14" i="215"/>
  <c r="G13" i="215"/>
  <c r="L225" i="215" l="1"/>
  <c r="N225" i="215"/>
  <c r="O225" i="215" s="1"/>
  <c r="K185" i="215"/>
  <c r="N185" i="215"/>
  <c r="O185" i="215" s="1"/>
  <c r="L210" i="215"/>
  <c r="M210" i="215" s="1"/>
  <c r="N109" i="215"/>
  <c r="O109" i="215" s="1"/>
  <c r="H273" i="215"/>
  <c r="E157" i="215"/>
  <c r="H199" i="215"/>
  <c r="I327" i="215"/>
  <c r="I320" i="215" s="1"/>
  <c r="J320" i="215" s="1"/>
  <c r="N83" i="215"/>
  <c r="O83" i="215" s="1"/>
  <c r="H151" i="215"/>
  <c r="N132" i="215"/>
  <c r="O132" i="215" s="1"/>
  <c r="N16" i="215"/>
  <c r="O16" i="215" s="1"/>
  <c r="I202" i="215"/>
  <c r="J253" i="215"/>
  <c r="K253" i="215" s="1"/>
  <c r="N76" i="215"/>
  <c r="O76" i="215" s="1"/>
  <c r="N296" i="215"/>
  <c r="O296" i="215" s="1"/>
  <c r="H184" i="215"/>
  <c r="L133" i="215"/>
  <c r="J57" i="215"/>
  <c r="L57" i="215" s="1"/>
  <c r="M57" i="215" s="1"/>
  <c r="H176" i="215"/>
  <c r="F66" i="215"/>
  <c r="N98" i="215"/>
  <c r="O98" i="215" s="1"/>
  <c r="L343" i="215"/>
  <c r="L172" i="215"/>
  <c r="M172" i="215" s="1"/>
  <c r="N283" i="215"/>
  <c r="O283" i="215" s="1"/>
  <c r="L335" i="215"/>
  <c r="M335" i="215" s="1"/>
  <c r="N335" i="215"/>
  <c r="O335" i="215" s="1"/>
  <c r="L83" i="215"/>
  <c r="M83" i="215" s="1"/>
  <c r="J56" i="215"/>
  <c r="K56" i="215" s="1"/>
  <c r="J24" i="215"/>
  <c r="N128" i="215"/>
  <c r="O128" i="215" s="1"/>
  <c r="G349" i="215"/>
  <c r="N228" i="215"/>
  <c r="O228" i="215" s="1"/>
  <c r="E66" i="215"/>
  <c r="J193" i="215"/>
  <c r="L193" i="215" s="1"/>
  <c r="M193" i="215" s="1"/>
  <c r="G66" i="215"/>
  <c r="L341" i="215"/>
  <c r="J52" i="215"/>
  <c r="H187" i="215"/>
  <c r="N214" i="215"/>
  <c r="O214" i="215" s="1"/>
  <c r="G332" i="215"/>
  <c r="H332" i="215" s="1"/>
  <c r="H56" i="215"/>
  <c r="L16" i="215"/>
  <c r="M16" i="215" s="1"/>
  <c r="L104" i="215"/>
  <c r="M104" i="215" s="1"/>
  <c r="N321" i="215"/>
  <c r="O321" i="215" s="1"/>
  <c r="J392" i="215"/>
  <c r="I349" i="215"/>
  <c r="N241" i="215"/>
  <c r="O241" i="215" s="1"/>
  <c r="N86" i="215"/>
  <c r="O86" i="215" s="1"/>
  <c r="L98" i="215"/>
  <c r="M98" i="215" s="1"/>
  <c r="L229" i="215"/>
  <c r="M229" i="215" s="1"/>
  <c r="I269" i="215"/>
  <c r="N322" i="215"/>
  <c r="O322" i="215" s="1"/>
  <c r="F180" i="215"/>
  <c r="H196" i="215"/>
  <c r="J60" i="215"/>
  <c r="N60" i="215" s="1"/>
  <c r="O60" i="215" s="1"/>
  <c r="K178" i="215"/>
  <c r="N178" i="215"/>
  <c r="O178" i="215" s="1"/>
  <c r="N309" i="215"/>
  <c r="O309" i="215" s="1"/>
  <c r="L309" i="215"/>
  <c r="M309" i="215" s="1"/>
  <c r="K309" i="215"/>
  <c r="J200" i="215"/>
  <c r="N200" i="215" s="1"/>
  <c r="O200" i="215" s="1"/>
  <c r="I199" i="215"/>
  <c r="J199" i="215" s="1"/>
  <c r="L199" i="215" s="1"/>
  <c r="M199" i="215" s="1"/>
  <c r="L173" i="215"/>
  <c r="M173" i="215" s="1"/>
  <c r="H166" i="215"/>
  <c r="L386" i="215"/>
  <c r="M386" i="215" s="1"/>
  <c r="N386" i="215"/>
  <c r="O386" i="215" s="1"/>
  <c r="L90" i="215"/>
  <c r="M90" i="215" s="1"/>
  <c r="L271" i="215"/>
  <c r="M271" i="215" s="1"/>
  <c r="L278" i="215"/>
  <c r="M278" i="215" s="1"/>
  <c r="K235" i="215"/>
  <c r="I141" i="215"/>
  <c r="J141" i="215" s="1"/>
  <c r="K141" i="215" s="1"/>
  <c r="J148" i="215"/>
  <c r="N148" i="215" s="1"/>
  <c r="O148" i="215" s="1"/>
  <c r="N64" i="215"/>
  <c r="O64" i="215" s="1"/>
  <c r="H181" i="215"/>
  <c r="N106" i="215"/>
  <c r="O106" i="215" s="1"/>
  <c r="L106" i="215"/>
  <c r="M106" i="215" s="1"/>
  <c r="N173" i="215"/>
  <c r="O173" i="215" s="1"/>
  <c r="K298" i="215"/>
  <c r="N298" i="215"/>
  <c r="O298" i="215" s="1"/>
  <c r="K106" i="215"/>
  <c r="L298" i="215"/>
  <c r="M298" i="215" s="1"/>
  <c r="K386" i="215"/>
  <c r="I259" i="215"/>
  <c r="J259" i="215" s="1"/>
  <c r="K259" i="215" s="1"/>
  <c r="J260" i="215"/>
  <c r="N260" i="215" s="1"/>
  <c r="O260" i="215" s="1"/>
  <c r="J355" i="215"/>
  <c r="N355" i="215" s="1"/>
  <c r="O355" i="215" s="1"/>
  <c r="N236" i="215"/>
  <c r="O236" i="215" s="1"/>
  <c r="L236" i="215"/>
  <c r="M236" i="215" s="1"/>
  <c r="L389" i="215"/>
  <c r="M389" i="215" s="1"/>
  <c r="N389" i="215"/>
  <c r="O389" i="215" s="1"/>
  <c r="K271" i="215"/>
  <c r="E289" i="215"/>
  <c r="E282" i="215" s="1"/>
  <c r="N292" i="215"/>
  <c r="O292" i="215" s="1"/>
  <c r="H338" i="215"/>
  <c r="J264" i="215"/>
  <c r="K264" i="215" s="1"/>
  <c r="L129" i="215"/>
  <c r="N129" i="215"/>
  <c r="O129" i="215" s="1"/>
  <c r="L59" i="215"/>
  <c r="M59" i="215" s="1"/>
  <c r="N59" i="215"/>
  <c r="O59" i="215" s="1"/>
  <c r="K59" i="215"/>
  <c r="N18" i="215"/>
  <c r="O18" i="215" s="1"/>
  <c r="K110" i="215"/>
  <c r="N123" i="215"/>
  <c r="O123" i="215" s="1"/>
  <c r="N145" i="215"/>
  <c r="O145" i="215" s="1"/>
  <c r="L145" i="215"/>
  <c r="M145" i="215" s="1"/>
  <c r="L245" i="215"/>
  <c r="N245" i="215"/>
  <c r="O245" i="215" s="1"/>
  <c r="L340" i="215"/>
  <c r="G223" i="215"/>
  <c r="J223" i="215" s="1"/>
  <c r="N223" i="215" s="1"/>
  <c r="O223" i="215" s="1"/>
  <c r="L110" i="215"/>
  <c r="M110" i="215" s="1"/>
  <c r="K145" i="215"/>
  <c r="G307" i="215"/>
  <c r="H307" i="215" s="1"/>
  <c r="L255" i="215"/>
  <c r="M255" i="215" s="1"/>
  <c r="N194" i="215"/>
  <c r="O194" i="215" s="1"/>
  <c r="L194" i="215"/>
  <c r="M194" i="215" s="1"/>
  <c r="K194" i="215"/>
  <c r="N324" i="215"/>
  <c r="O324" i="215" s="1"/>
  <c r="N221" i="215"/>
  <c r="O221" i="215" s="1"/>
  <c r="L221" i="215"/>
  <c r="M221" i="215" s="1"/>
  <c r="K90" i="215"/>
  <c r="I338" i="215"/>
  <c r="J338" i="215" s="1"/>
  <c r="L338" i="215" s="1"/>
  <c r="M338" i="215" s="1"/>
  <c r="N278" i="215"/>
  <c r="O278" i="215" s="1"/>
  <c r="J349" i="215"/>
  <c r="K349" i="215" s="1"/>
  <c r="N377" i="215"/>
  <c r="O377" i="215" s="1"/>
  <c r="L377" i="215"/>
  <c r="N121" i="215"/>
  <c r="O121" i="215" s="1"/>
  <c r="K18" i="215"/>
  <c r="N39" i="215"/>
  <c r="O39" i="215" s="1"/>
  <c r="N339" i="215"/>
  <c r="O339" i="215" s="1"/>
  <c r="K69" i="215"/>
  <c r="N69" i="215"/>
  <c r="O69" i="215" s="1"/>
  <c r="L69" i="215"/>
  <c r="M69" i="215" s="1"/>
  <c r="H14" i="215"/>
  <c r="H101" i="215"/>
  <c r="I216" i="215"/>
  <c r="I209" i="215" s="1"/>
  <c r="N265" i="215"/>
  <c r="O265" i="215" s="1"/>
  <c r="L265" i="215"/>
  <c r="M265" i="215" s="1"/>
  <c r="J58" i="215"/>
  <c r="N58" i="215" s="1"/>
  <c r="O58" i="215" s="1"/>
  <c r="H58" i="215"/>
  <c r="L118" i="215"/>
  <c r="I289" i="215"/>
  <c r="I282" i="215" s="1"/>
  <c r="J291" i="215"/>
  <c r="N291" i="215" s="1"/>
  <c r="O291" i="215" s="1"/>
  <c r="K127" i="215"/>
  <c r="N127" i="215"/>
  <c r="O127" i="215" s="1"/>
  <c r="N249" i="215"/>
  <c r="O249" i="215" s="1"/>
  <c r="L249" i="215"/>
  <c r="J304" i="215"/>
  <c r="N304" i="215" s="1"/>
  <c r="O304" i="215" s="1"/>
  <c r="I302" i="215"/>
  <c r="I294" i="215" s="1"/>
  <c r="L127" i="215"/>
  <c r="M127" i="215" s="1"/>
  <c r="N368" i="215"/>
  <c r="O368" i="215" s="1"/>
  <c r="N70" i="215"/>
  <c r="O70" i="215" s="1"/>
  <c r="L85" i="215"/>
  <c r="M85" i="215" s="1"/>
  <c r="H60" i="215"/>
  <c r="N171" i="215"/>
  <c r="O171" i="215" s="1"/>
  <c r="N88" i="215"/>
  <c r="O88" i="215" s="1"/>
  <c r="L88" i="215"/>
  <c r="M88" i="215" s="1"/>
  <c r="K44" i="215"/>
  <c r="N94" i="215"/>
  <c r="O94" i="215" s="1"/>
  <c r="N103" i="215"/>
  <c r="O103" i="215" s="1"/>
  <c r="L103" i="215"/>
  <c r="M103" i="215" s="1"/>
  <c r="K295" i="215"/>
  <c r="N345" i="215"/>
  <c r="O345" i="215" s="1"/>
  <c r="L354" i="215"/>
  <c r="M354" i="215" s="1"/>
  <c r="N388" i="215"/>
  <c r="O388" i="215" s="1"/>
  <c r="N125" i="215"/>
  <c r="O125" i="215" s="1"/>
  <c r="L125" i="215"/>
  <c r="N329" i="215"/>
  <c r="O329" i="215" s="1"/>
  <c r="L44" i="215"/>
  <c r="M44" i="215" s="1"/>
  <c r="H61" i="215"/>
  <c r="K103" i="215"/>
  <c r="L155" i="215"/>
  <c r="M155" i="215" s="1"/>
  <c r="L295" i="215"/>
  <c r="M295" i="215" s="1"/>
  <c r="N346" i="215"/>
  <c r="O346" i="215" s="1"/>
  <c r="L363" i="215"/>
  <c r="M363" i="215" s="1"/>
  <c r="N360" i="215"/>
  <c r="O360" i="215" s="1"/>
  <c r="L360" i="215"/>
  <c r="K85" i="215"/>
  <c r="N218" i="215"/>
  <c r="O218" i="215" s="1"/>
  <c r="L107" i="215"/>
  <c r="N65" i="215"/>
  <c r="O65" i="215" s="1"/>
  <c r="J184" i="215"/>
  <c r="N354" i="215"/>
  <c r="O354" i="215" s="1"/>
  <c r="K65" i="215"/>
  <c r="L117" i="215"/>
  <c r="M117" i="215" s="1"/>
  <c r="N117" i="215"/>
  <c r="O117" i="215" s="1"/>
  <c r="H210" i="215"/>
  <c r="H362" i="215"/>
  <c r="N62" i="215"/>
  <c r="O62" i="215" s="1"/>
  <c r="H66" i="215"/>
  <c r="L24" i="215"/>
  <c r="F38" i="215"/>
  <c r="F13" i="215" s="1"/>
  <c r="N363" i="215"/>
  <c r="O363" i="215" s="1"/>
  <c r="J38" i="215"/>
  <c r="H62" i="215"/>
  <c r="L185" i="215"/>
  <c r="M185" i="215" s="1"/>
  <c r="J277" i="215"/>
  <c r="K277" i="215" s="1"/>
  <c r="E327" i="215"/>
  <c r="E320" i="215" s="1"/>
  <c r="N320" i="215" s="1"/>
  <c r="O320" i="215" s="1"/>
  <c r="L373" i="215"/>
  <c r="M373" i="215" s="1"/>
  <c r="N373" i="215"/>
  <c r="O373" i="215" s="1"/>
  <c r="I383" i="215"/>
  <c r="H233" i="215"/>
  <c r="H211" i="215"/>
  <c r="I14" i="215"/>
  <c r="J14" i="215" s="1"/>
  <c r="K14" i="215" s="1"/>
  <c r="N41" i="215"/>
  <c r="O41" i="215" s="1"/>
  <c r="N87" i="215"/>
  <c r="O87" i="215" s="1"/>
  <c r="I100" i="215"/>
  <c r="J187" i="215"/>
  <c r="J211" i="215"/>
  <c r="K211" i="215" s="1"/>
  <c r="N310" i="215"/>
  <c r="O310" i="215" s="1"/>
  <c r="N357" i="215"/>
  <c r="O357" i="215" s="1"/>
  <c r="H67" i="215"/>
  <c r="L153" i="215"/>
  <c r="M153" i="215" s="1"/>
  <c r="N227" i="215"/>
  <c r="O227" i="215" s="1"/>
  <c r="J273" i="215"/>
  <c r="K273" i="215" s="1"/>
  <c r="H320" i="215"/>
  <c r="N359" i="215"/>
  <c r="O359" i="215" s="1"/>
  <c r="L384" i="215"/>
  <c r="M384" i="215" s="1"/>
  <c r="N164" i="215"/>
  <c r="O164" i="215" s="1"/>
  <c r="L237" i="215"/>
  <c r="M237" i="215" s="1"/>
  <c r="K310" i="215"/>
  <c r="K237" i="215"/>
  <c r="K233" i="215"/>
  <c r="N193" i="215"/>
  <c r="O193" i="215" s="1"/>
  <c r="K193" i="215"/>
  <c r="J190" i="215"/>
  <c r="K190" i="215" s="1"/>
  <c r="J315" i="215"/>
  <c r="L315" i="215" s="1"/>
  <c r="M315" i="215" s="1"/>
  <c r="N381" i="215"/>
  <c r="O381" i="215" s="1"/>
  <c r="I379" i="215"/>
  <c r="I371" i="215" s="1"/>
  <c r="N197" i="215"/>
  <c r="O197" i="215" s="1"/>
  <c r="L188" i="215"/>
  <c r="M188" i="215" s="1"/>
  <c r="N188" i="215"/>
  <c r="O188" i="215" s="1"/>
  <c r="L148" i="215"/>
  <c r="M148" i="215" s="1"/>
  <c r="J67" i="215"/>
  <c r="J79" i="215"/>
  <c r="K79" i="215" s="1"/>
  <c r="H79" i="215"/>
  <c r="L99" i="215"/>
  <c r="N99" i="215"/>
  <c r="O99" i="215" s="1"/>
  <c r="N261" i="215"/>
  <c r="O261" i="215" s="1"/>
  <c r="N141" i="215"/>
  <c r="O141" i="215" s="1"/>
  <c r="J307" i="215"/>
  <c r="K389" i="215"/>
  <c r="L326" i="215"/>
  <c r="M326" i="215" s="1"/>
  <c r="K326" i="215"/>
  <c r="L239" i="215"/>
  <c r="M239" i="215" s="1"/>
  <c r="K239" i="215"/>
  <c r="N235" i="215"/>
  <c r="O235" i="215" s="1"/>
  <c r="N234" i="215"/>
  <c r="O234" i="215" s="1"/>
  <c r="L234" i="215"/>
  <c r="M234" i="215" s="1"/>
  <c r="F222" i="215"/>
  <c r="L224" i="215"/>
  <c r="J166" i="215"/>
  <c r="N166" i="215" s="1"/>
  <c r="O166" i="215" s="1"/>
  <c r="G100" i="215"/>
  <c r="J100" i="215" s="1"/>
  <c r="N61" i="215"/>
  <c r="O61" i="215" s="1"/>
  <c r="K57" i="215"/>
  <c r="N57" i="215"/>
  <c r="O57" i="215" s="1"/>
  <c r="L55" i="215"/>
  <c r="M55" i="215" s="1"/>
  <c r="N55" i="215"/>
  <c r="O55" i="215" s="1"/>
  <c r="K184" i="215"/>
  <c r="L184" i="215"/>
  <c r="M184" i="215" s="1"/>
  <c r="N184" i="215"/>
  <c r="O184" i="215" s="1"/>
  <c r="K187" i="215"/>
  <c r="L187" i="215"/>
  <c r="M187" i="215" s="1"/>
  <c r="L54" i="215"/>
  <c r="M54" i="215" s="1"/>
  <c r="N54" i="215"/>
  <c r="O54" i="215" s="1"/>
  <c r="K54" i="215"/>
  <c r="N192" i="215"/>
  <c r="O192" i="215" s="1"/>
  <c r="L192" i="215"/>
  <c r="M192" i="215" s="1"/>
  <c r="K192" i="215"/>
  <c r="K22" i="215"/>
  <c r="L33" i="215"/>
  <c r="L43" i="215"/>
  <c r="L311" i="215"/>
  <c r="M311" i="215" s="1"/>
  <c r="N311" i="215"/>
  <c r="O311" i="215" s="1"/>
  <c r="H13" i="215"/>
  <c r="K62" i="215"/>
  <c r="L71" i="215"/>
  <c r="M71" i="215" s="1"/>
  <c r="K71" i="215"/>
  <c r="N71" i="215"/>
  <c r="O71" i="215" s="1"/>
  <c r="I157" i="215"/>
  <c r="N167" i="215"/>
  <c r="O167" i="215" s="1"/>
  <c r="L167" i="215"/>
  <c r="M167" i="215" s="1"/>
  <c r="J181" i="215"/>
  <c r="L196" i="215"/>
  <c r="M196" i="215" s="1"/>
  <c r="H259" i="215"/>
  <c r="K262" i="215"/>
  <c r="H379" i="215"/>
  <c r="L28" i="215"/>
  <c r="N67" i="215"/>
  <c r="O67" i="215" s="1"/>
  <c r="L67" i="215"/>
  <c r="M67" i="215" s="1"/>
  <c r="K67" i="215"/>
  <c r="K77" i="215"/>
  <c r="J158" i="215"/>
  <c r="K167" i="215"/>
  <c r="L262" i="215"/>
  <c r="M262" i="215" s="1"/>
  <c r="H277" i="215"/>
  <c r="G371" i="215"/>
  <c r="N374" i="215"/>
  <c r="O374" i="215" s="1"/>
  <c r="L374" i="215"/>
  <c r="M374" i="215" s="1"/>
  <c r="N22" i="215"/>
  <c r="O22" i="215" s="1"/>
  <c r="N80" i="215"/>
  <c r="O80" i="215" s="1"/>
  <c r="L80" i="215"/>
  <c r="M80" i="215" s="1"/>
  <c r="K80" i="215"/>
  <c r="K124" i="215"/>
  <c r="L312" i="215"/>
  <c r="N338" i="215"/>
  <c r="O338" i="215" s="1"/>
  <c r="K351" i="215"/>
  <c r="K374" i="215"/>
  <c r="G50" i="215"/>
  <c r="J51" i="215"/>
  <c r="H54" i="215"/>
  <c r="K72" i="215"/>
  <c r="K146" i="215"/>
  <c r="N177" i="215"/>
  <c r="O177" i="215" s="1"/>
  <c r="L177" i="215"/>
  <c r="M177" i="215" s="1"/>
  <c r="K177" i="215"/>
  <c r="E239" i="215"/>
  <c r="N239" i="215" s="1"/>
  <c r="O239" i="215" s="1"/>
  <c r="N240" i="215"/>
  <c r="O240" i="215" s="1"/>
  <c r="N308" i="215"/>
  <c r="O308" i="215" s="1"/>
  <c r="L308" i="215"/>
  <c r="M308" i="215" s="1"/>
  <c r="L351" i="215"/>
  <c r="M351" i="215" s="1"/>
  <c r="K68" i="215"/>
  <c r="L146" i="215"/>
  <c r="M146" i="215" s="1"/>
  <c r="N330" i="215"/>
  <c r="O330" i="215" s="1"/>
  <c r="E362" i="215"/>
  <c r="K375" i="215"/>
  <c r="N375" i="215"/>
  <c r="O375" i="215" s="1"/>
  <c r="L375" i="215"/>
  <c r="M375" i="215" s="1"/>
  <c r="N19" i="215"/>
  <c r="O19" i="215" s="1"/>
  <c r="L36" i="215"/>
  <c r="L68" i="215"/>
  <c r="M68" i="215" s="1"/>
  <c r="L112" i="215"/>
  <c r="M112" i="215" s="1"/>
  <c r="K112" i="215"/>
  <c r="K120" i="215"/>
  <c r="K138" i="215"/>
  <c r="K231" i="215"/>
  <c r="G282" i="215"/>
  <c r="L40" i="215"/>
  <c r="M40" i="215" s="1"/>
  <c r="K97" i="215"/>
  <c r="N108" i="215"/>
  <c r="O108" i="215" s="1"/>
  <c r="K108" i="215"/>
  <c r="L108" i="215"/>
  <c r="M108" i="215" s="1"/>
  <c r="L120" i="215"/>
  <c r="M120" i="215" s="1"/>
  <c r="L138" i="215"/>
  <c r="M138" i="215" s="1"/>
  <c r="L159" i="215"/>
  <c r="M159" i="215" s="1"/>
  <c r="K159" i="215"/>
  <c r="L169" i="215"/>
  <c r="M169" i="215" s="1"/>
  <c r="L231" i="215"/>
  <c r="M231" i="215" s="1"/>
  <c r="L97" i="215"/>
  <c r="M97" i="215" s="1"/>
  <c r="K115" i="215"/>
  <c r="N203" i="215"/>
  <c r="O203" i="215" s="1"/>
  <c r="L323" i="215"/>
  <c r="M323" i="215" s="1"/>
  <c r="L356" i="215"/>
  <c r="M356" i="215" s="1"/>
  <c r="K356" i="215"/>
  <c r="H135" i="215"/>
  <c r="N159" i="215"/>
  <c r="O159" i="215" s="1"/>
  <c r="N169" i="215"/>
  <c r="O169" i="215" s="1"/>
  <c r="N352" i="215"/>
  <c r="O352" i="215" s="1"/>
  <c r="L352" i="215"/>
  <c r="M352" i="215" s="1"/>
  <c r="K352" i="215"/>
  <c r="H52" i="215"/>
  <c r="K152" i="215"/>
  <c r="L212" i="215"/>
  <c r="M212" i="215" s="1"/>
  <c r="L228" i="215"/>
  <c r="M228" i="215" s="1"/>
  <c r="K17" i="215"/>
  <c r="O25" i="215"/>
  <c r="L93" i="215"/>
  <c r="M93" i="215" s="1"/>
  <c r="N105" i="215"/>
  <c r="O105" i="215" s="1"/>
  <c r="L105" i="215"/>
  <c r="M105" i="215" s="1"/>
  <c r="L116" i="215"/>
  <c r="M116" i="215" s="1"/>
  <c r="K116" i="215"/>
  <c r="N116" i="215"/>
  <c r="O116" i="215" s="1"/>
  <c r="L174" i="215"/>
  <c r="M174" i="215" s="1"/>
  <c r="N174" i="215"/>
  <c r="O174" i="215" s="1"/>
  <c r="L337" i="215"/>
  <c r="M337" i="215" s="1"/>
  <c r="K337" i="215"/>
  <c r="N337" i="215"/>
  <c r="O337" i="215" s="1"/>
  <c r="H349" i="215"/>
  <c r="N356" i="215"/>
  <c r="O356" i="215" s="1"/>
  <c r="E390" i="215"/>
  <c r="N392" i="215"/>
  <c r="O392" i="215" s="1"/>
  <c r="N21" i="215"/>
  <c r="O21" i="215" s="1"/>
  <c r="L21" i="215"/>
  <c r="M21" i="215" s="1"/>
  <c r="L32" i="215"/>
  <c r="K105" i="215"/>
  <c r="K171" i="215"/>
  <c r="K174" i="215"/>
  <c r="N191" i="215"/>
  <c r="O191" i="215" s="1"/>
  <c r="L191" i="215"/>
  <c r="L222" i="215"/>
  <c r="M222" i="215" s="1"/>
  <c r="K296" i="215"/>
  <c r="N333" i="215"/>
  <c r="O333" i="215" s="1"/>
  <c r="L333" i="215"/>
  <c r="M333" i="215" s="1"/>
  <c r="K333" i="215"/>
  <c r="K21" i="215"/>
  <c r="L26" i="215"/>
  <c r="L64" i="215"/>
  <c r="M64" i="215" s="1"/>
  <c r="E100" i="215"/>
  <c r="E49" i="215" s="1"/>
  <c r="H113" i="215"/>
  <c r="L128" i="215"/>
  <c r="M128" i="215" s="1"/>
  <c r="K210" i="215"/>
  <c r="H222" i="215"/>
  <c r="J222" i="215"/>
  <c r="K222" i="215" s="1"/>
  <c r="K321" i="215"/>
  <c r="L102" i="215"/>
  <c r="M102" i="215" s="1"/>
  <c r="K102" i="215"/>
  <c r="N102" i="215"/>
  <c r="O102" i="215" s="1"/>
  <c r="N288" i="215"/>
  <c r="O288" i="215" s="1"/>
  <c r="L288" i="215"/>
  <c r="M288" i="215" s="1"/>
  <c r="K288" i="215"/>
  <c r="E371" i="215"/>
  <c r="N15" i="215"/>
  <c r="O15" i="215" s="1"/>
  <c r="L15" i="215"/>
  <c r="M15" i="215" s="1"/>
  <c r="K15" i="215"/>
  <c r="K96" i="215"/>
  <c r="K162" i="215"/>
  <c r="K230" i="215"/>
  <c r="K311" i="215"/>
  <c r="L162" i="215"/>
  <c r="M162" i="215" s="1"/>
  <c r="N230" i="215"/>
  <c r="O230" i="215" s="1"/>
  <c r="L77" i="215"/>
  <c r="M77" i="215" s="1"/>
  <c r="N96" i="215"/>
  <c r="O96" i="215" s="1"/>
  <c r="F281" i="215"/>
  <c r="J344" i="215"/>
  <c r="L124" i="215"/>
  <c r="M124" i="215" s="1"/>
  <c r="L142" i="215"/>
  <c r="M142" i="215" s="1"/>
  <c r="N142" i="215"/>
  <c r="O142" i="215" s="1"/>
  <c r="K142" i="215"/>
  <c r="N29" i="215"/>
  <c r="O29" i="215" s="1"/>
  <c r="L29" i="215"/>
  <c r="H51" i="215"/>
  <c r="L72" i="215"/>
  <c r="M72" i="215" s="1"/>
  <c r="G269" i="215"/>
  <c r="K308" i="215"/>
  <c r="K40" i="215"/>
  <c r="K163" i="215"/>
  <c r="N163" i="215"/>
  <c r="O163" i="215" s="1"/>
  <c r="L163" i="215"/>
  <c r="M163" i="215" s="1"/>
  <c r="K285" i="215"/>
  <c r="G383" i="215"/>
  <c r="J390" i="215"/>
  <c r="L143" i="215"/>
  <c r="K203" i="215"/>
  <c r="H228" i="215"/>
  <c r="L285" i="215"/>
  <c r="M285" i="215" s="1"/>
  <c r="K323" i="215"/>
  <c r="N376" i="215"/>
  <c r="O376" i="215" s="1"/>
  <c r="L376" i="215"/>
  <c r="M376" i="215" s="1"/>
  <c r="K376" i="215"/>
  <c r="N112" i="215"/>
  <c r="O112" i="215" s="1"/>
  <c r="K135" i="215"/>
  <c r="J367" i="215"/>
  <c r="K52" i="215"/>
  <c r="L52" i="215"/>
  <c r="M52" i="215" s="1"/>
  <c r="I66" i="215"/>
  <c r="J66" i="215" s="1"/>
  <c r="K82" i="215"/>
  <c r="L115" i="215"/>
  <c r="M115" i="215" s="1"/>
  <c r="K212" i="215"/>
  <c r="K228" i="215"/>
  <c r="K256" i="215"/>
  <c r="H327" i="215"/>
  <c r="L20" i="215"/>
  <c r="L82" i="215"/>
  <c r="M82" i="215" s="1"/>
  <c r="K93" i="215"/>
  <c r="L256" i="215"/>
  <c r="M256" i="215" s="1"/>
  <c r="K286" i="215"/>
  <c r="K387" i="215"/>
  <c r="I50" i="215"/>
  <c r="L152" i="215"/>
  <c r="M152" i="215" s="1"/>
  <c r="E252" i="215"/>
  <c r="N253" i="215"/>
  <c r="O253" i="215" s="1"/>
  <c r="F269" i="215"/>
  <c r="L286" i="215"/>
  <c r="M286" i="215" s="1"/>
  <c r="K299" i="215"/>
  <c r="L353" i="215"/>
  <c r="M353" i="215" s="1"/>
  <c r="N353" i="215"/>
  <c r="O353" i="215" s="1"/>
  <c r="K353" i="215"/>
  <c r="L387" i="215"/>
  <c r="M387" i="215" s="1"/>
  <c r="L17" i="215"/>
  <c r="M17" i="215" s="1"/>
  <c r="N52" i="215"/>
  <c r="O52" i="215" s="1"/>
  <c r="K113" i="215"/>
  <c r="H270" i="215"/>
  <c r="L299" i="215"/>
  <c r="M299" i="215" s="1"/>
  <c r="E13" i="215"/>
  <c r="H53" i="215"/>
  <c r="J53" i="215"/>
  <c r="K87" i="215"/>
  <c r="F100" i="215"/>
  <c r="F49" i="215" s="1"/>
  <c r="N161" i="215"/>
  <c r="O161" i="215" s="1"/>
  <c r="L161" i="215"/>
  <c r="M161" i="215" s="1"/>
  <c r="K161" i="215"/>
  <c r="K265" i="215"/>
  <c r="J270" i="215"/>
  <c r="G294" i="215"/>
  <c r="K324" i="215"/>
  <c r="L334" i="215"/>
  <c r="M334" i="215" s="1"/>
  <c r="K334" i="215"/>
  <c r="L364" i="215"/>
  <c r="M364" i="215" s="1"/>
  <c r="K364" i="215"/>
  <c r="N364" i="215"/>
  <c r="O364" i="215" s="1"/>
  <c r="K384" i="215"/>
  <c r="K136" i="215"/>
  <c r="N136" i="215"/>
  <c r="O136" i="215" s="1"/>
  <c r="L136" i="215"/>
  <c r="M136" i="215" s="1"/>
  <c r="F216" i="215"/>
  <c r="L217" i="215"/>
  <c r="K267" i="215"/>
  <c r="H356" i="215"/>
  <c r="L34" i="215"/>
  <c r="K81" i="215"/>
  <c r="H141" i="215"/>
  <c r="K144" i="215"/>
  <c r="L160" i="215"/>
  <c r="M160" i="215" s="1"/>
  <c r="K200" i="215"/>
  <c r="L211" i="215"/>
  <c r="M211" i="215" s="1"/>
  <c r="L267" i="215"/>
  <c r="M267" i="215" s="1"/>
  <c r="K287" i="215"/>
  <c r="L300" i="215"/>
  <c r="M300" i="215" s="1"/>
  <c r="K336" i="215"/>
  <c r="L42" i="215"/>
  <c r="M42" i="215" s="1"/>
  <c r="K70" i="215"/>
  <c r="N158" i="215"/>
  <c r="O158" i="215" s="1"/>
  <c r="K261" i="215"/>
  <c r="L287" i="215"/>
  <c r="M287" i="215" s="1"/>
  <c r="K350" i="215"/>
  <c r="L25" i="215"/>
  <c r="N31" i="215"/>
  <c r="O31" i="215" s="1"/>
  <c r="L39" i="215"/>
  <c r="M39" i="215" s="1"/>
  <c r="L89" i="215"/>
  <c r="M89" i="215" s="1"/>
  <c r="J101" i="215"/>
  <c r="K117" i="215"/>
  <c r="K121" i="215"/>
  <c r="K137" i="215"/>
  <c r="L147" i="215"/>
  <c r="M147" i="215" s="1"/>
  <c r="K147" i="215"/>
  <c r="N160" i="215"/>
  <c r="O160" i="215" s="1"/>
  <c r="L197" i="215"/>
  <c r="M197" i="215" s="1"/>
  <c r="N274" i="215"/>
  <c r="O274" i="215" s="1"/>
  <c r="L274" i="215"/>
  <c r="M274" i="215" s="1"/>
  <c r="K314" i="215"/>
  <c r="N350" i="215"/>
  <c r="O350" i="215" s="1"/>
  <c r="K365" i="215"/>
  <c r="K373" i="215"/>
  <c r="N204" i="215"/>
  <c r="O204" i="215" s="1"/>
  <c r="N217" i="215"/>
  <c r="O217" i="215" s="1"/>
  <c r="E216" i="215"/>
  <c r="N313" i="215"/>
  <c r="O313" i="215" s="1"/>
  <c r="L313" i="215"/>
  <c r="M313" i="215" s="1"/>
  <c r="K313" i="215"/>
  <c r="N74" i="215"/>
  <c r="O74" i="215" s="1"/>
  <c r="K74" i="215"/>
  <c r="L78" i="215"/>
  <c r="M78" i="215" s="1"/>
  <c r="N78" i="215"/>
  <c r="O78" i="215" s="1"/>
  <c r="K130" i="215"/>
  <c r="F150" i="215"/>
  <c r="J204" i="215"/>
  <c r="G202" i="215"/>
  <c r="G180" i="215" s="1"/>
  <c r="L297" i="215"/>
  <c r="M297" i="215" s="1"/>
  <c r="K297" i="215"/>
  <c r="K300" i="215"/>
  <c r="K42" i="215"/>
  <c r="L74" i="215"/>
  <c r="M74" i="215" s="1"/>
  <c r="N130" i="215"/>
  <c r="O130" i="215" s="1"/>
  <c r="G150" i="215"/>
  <c r="J151" i="215"/>
  <c r="J176" i="215"/>
  <c r="G216" i="215"/>
  <c r="J362" i="215"/>
  <c r="K362" i="215" s="1"/>
  <c r="L81" i="215"/>
  <c r="M81" i="215" s="1"/>
  <c r="K89" i="215"/>
  <c r="L144" i="215"/>
  <c r="M144" i="215" s="1"/>
  <c r="N168" i="215"/>
  <c r="O168" i="215" s="1"/>
  <c r="K168" i="215"/>
  <c r="L168" i="215"/>
  <c r="M168" i="215" s="1"/>
  <c r="N187" i="215"/>
  <c r="O187" i="215" s="1"/>
  <c r="H190" i="215"/>
  <c r="L336" i="215"/>
  <c r="M336" i="215" s="1"/>
  <c r="L31" i="215"/>
  <c r="K104" i="215"/>
  <c r="N137" i="215"/>
  <c r="O137" i="215" s="1"/>
  <c r="H158" i="215"/>
  <c r="G157" i="215"/>
  <c r="E202" i="215"/>
  <c r="E180" i="215" s="1"/>
  <c r="N254" i="215"/>
  <c r="O254" i="215" s="1"/>
  <c r="L254" i="215"/>
  <c r="M254" i="215" s="1"/>
  <c r="K274" i="215"/>
  <c r="L314" i="215"/>
  <c r="M314" i="215" s="1"/>
  <c r="L365" i="215"/>
  <c r="M365" i="215" s="1"/>
  <c r="H63" i="215"/>
  <c r="L266" i="215"/>
  <c r="M266" i="215" s="1"/>
  <c r="K266" i="215"/>
  <c r="K378" i="215"/>
  <c r="H55" i="215"/>
  <c r="H57" i="215"/>
  <c r="K86" i="215"/>
  <c r="K94" i="215"/>
  <c r="K139" i="215"/>
  <c r="K227" i="215"/>
  <c r="K257" i="215"/>
  <c r="L378" i="215"/>
  <c r="M378" i="215" s="1"/>
  <c r="L385" i="215"/>
  <c r="M385" i="215" s="1"/>
  <c r="K385" i="215"/>
  <c r="K388" i="215"/>
  <c r="L27" i="215"/>
  <c r="L35" i="215"/>
  <c r="K61" i="215"/>
  <c r="J63" i="215"/>
  <c r="K63" i="215" s="1"/>
  <c r="K76" i="215"/>
  <c r="K111" i="215"/>
  <c r="L119" i="215"/>
  <c r="M119" i="215" s="1"/>
  <c r="L123" i="215"/>
  <c r="M123" i="215" s="1"/>
  <c r="L139" i="215"/>
  <c r="M139" i="215" s="1"/>
  <c r="N196" i="215"/>
  <c r="O196" i="215" s="1"/>
  <c r="L219" i="215"/>
  <c r="L257" i="215"/>
  <c r="M257" i="215" s="1"/>
  <c r="H264" i="215"/>
  <c r="N266" i="215"/>
  <c r="O266" i="215" s="1"/>
  <c r="K283" i="215"/>
  <c r="L301" i="215"/>
  <c r="E307" i="215"/>
  <c r="K325" i="215"/>
  <c r="K366" i="215"/>
  <c r="L372" i="215"/>
  <c r="M372" i="215" s="1"/>
  <c r="K372" i="215"/>
  <c r="L182" i="215"/>
  <c r="M182" i="215" s="1"/>
  <c r="K182" i="215"/>
  <c r="N182" i="215"/>
  <c r="O182" i="215" s="1"/>
  <c r="K119" i="215"/>
  <c r="L131" i="215"/>
  <c r="M131" i="215" s="1"/>
  <c r="L111" i="215"/>
  <c r="M111" i="215" s="1"/>
  <c r="N131" i="215"/>
  <c r="O131" i="215" s="1"/>
  <c r="K172" i="215"/>
  <c r="K229" i="215"/>
  <c r="J240" i="215"/>
  <c r="L240" i="215" s="1"/>
  <c r="M240" i="215" s="1"/>
  <c r="E269" i="215"/>
  <c r="N325" i="215"/>
  <c r="O325" i="215" s="1"/>
  <c r="L366" i="215"/>
  <c r="M366" i="215" s="1"/>
  <c r="N385" i="215"/>
  <c r="O385" i="215" s="1"/>
  <c r="L253" i="215"/>
  <c r="M253" i="215" s="1"/>
  <c r="G252" i="215"/>
  <c r="K255" i="215"/>
  <c r="L284" i="215"/>
  <c r="M284" i="215" s="1"/>
  <c r="K284" i="215"/>
  <c r="L56" i="215" l="1"/>
  <c r="M56" i="215" s="1"/>
  <c r="K320" i="215"/>
  <c r="L320" i="215"/>
  <c r="M320" i="215" s="1"/>
  <c r="L38" i="215"/>
  <c r="M38" i="215" s="1"/>
  <c r="L349" i="215"/>
  <c r="M349" i="215" s="1"/>
  <c r="L355" i="215"/>
  <c r="M355" i="215" s="1"/>
  <c r="J327" i="215"/>
  <c r="N327" i="215" s="1"/>
  <c r="O327" i="215" s="1"/>
  <c r="K60" i="215"/>
  <c r="L60" i="215"/>
  <c r="M60" i="215" s="1"/>
  <c r="J289" i="215"/>
  <c r="N56" i="215"/>
  <c r="O56" i="215" s="1"/>
  <c r="I252" i="215"/>
  <c r="N14" i="215"/>
  <c r="O14" i="215" s="1"/>
  <c r="K148" i="215"/>
  <c r="N349" i="215"/>
  <c r="O349" i="215" s="1"/>
  <c r="N273" i="215"/>
  <c r="O273" i="215" s="1"/>
  <c r="N307" i="215"/>
  <c r="O307" i="215" s="1"/>
  <c r="K355" i="215"/>
  <c r="L62" i="215"/>
  <c r="M62" i="215" s="1"/>
  <c r="L277" i="215"/>
  <c r="M277" i="215" s="1"/>
  <c r="L79" i="215"/>
  <c r="M79" i="215" s="1"/>
  <c r="N277" i="215"/>
  <c r="O277" i="215" s="1"/>
  <c r="K58" i="215"/>
  <c r="K38" i="215"/>
  <c r="L58" i="215"/>
  <c r="M58" i="215" s="1"/>
  <c r="I180" i="215"/>
  <c r="J180" i="215" s="1"/>
  <c r="L260" i="215"/>
  <c r="M260" i="215" s="1"/>
  <c r="L166" i="215"/>
  <c r="M166" i="215" s="1"/>
  <c r="K199" i="215"/>
  <c r="L223" i="215"/>
  <c r="N264" i="215"/>
  <c r="O264" i="215" s="1"/>
  <c r="K260" i="215"/>
  <c r="L264" i="215"/>
  <c r="M264" i="215" s="1"/>
  <c r="K166" i="215"/>
  <c r="N199" i="215"/>
  <c r="O199" i="215" s="1"/>
  <c r="N211" i="215"/>
  <c r="O211" i="215" s="1"/>
  <c r="J379" i="215"/>
  <c r="K315" i="215"/>
  <c r="N24" i="215"/>
  <c r="O24" i="215" s="1"/>
  <c r="J302" i="215"/>
  <c r="I13" i="215"/>
  <c r="J13" i="215" s="1"/>
  <c r="K13" i="215" s="1"/>
  <c r="I332" i="215"/>
  <c r="J332" i="215" s="1"/>
  <c r="K332" i="215" s="1"/>
  <c r="K338" i="215"/>
  <c r="N100" i="215"/>
  <c r="O100" i="215" s="1"/>
  <c r="L14" i="215"/>
  <c r="M14" i="215" s="1"/>
  <c r="L273" i="215"/>
  <c r="M273" i="215" s="1"/>
  <c r="L190" i="215"/>
  <c r="M190" i="215" s="1"/>
  <c r="N315" i="215"/>
  <c r="O315" i="215" s="1"/>
  <c r="L141" i="215"/>
  <c r="M141" i="215" s="1"/>
  <c r="L200" i="215"/>
  <c r="M200" i="215" s="1"/>
  <c r="H38" i="215"/>
  <c r="N190" i="215"/>
  <c r="O190" i="215" s="1"/>
  <c r="N38" i="215"/>
  <c r="O38" i="215" s="1"/>
  <c r="N362" i="215"/>
  <c r="O362" i="215" s="1"/>
  <c r="L362" i="215"/>
  <c r="M362" i="215" s="1"/>
  <c r="N379" i="215"/>
  <c r="O379" i="215" s="1"/>
  <c r="L259" i="215"/>
  <c r="M259" i="215" s="1"/>
  <c r="N259" i="215"/>
  <c r="O259" i="215" s="1"/>
  <c r="L100" i="215"/>
  <c r="M100" i="215" s="1"/>
  <c r="N79" i="215"/>
  <c r="O79" i="215" s="1"/>
  <c r="I49" i="215"/>
  <c r="I48" i="215" s="1"/>
  <c r="I47" i="215" s="1"/>
  <c r="I46" i="215" s="1"/>
  <c r="L307" i="215"/>
  <c r="M307" i="215" s="1"/>
  <c r="K307" i="215"/>
  <c r="H216" i="215"/>
  <c r="J216" i="215"/>
  <c r="K216" i="215" s="1"/>
  <c r="G209" i="215"/>
  <c r="J294" i="215"/>
  <c r="H294" i="215"/>
  <c r="N270" i="215"/>
  <c r="O270" i="215" s="1"/>
  <c r="K270" i="215"/>
  <c r="K151" i="215"/>
  <c r="N151" i="215"/>
  <c r="O151" i="215" s="1"/>
  <c r="H180" i="215"/>
  <c r="H100" i="215"/>
  <c r="L53" i="215"/>
  <c r="M53" i="215" s="1"/>
  <c r="K53" i="215"/>
  <c r="N53" i="215"/>
  <c r="O53" i="215" s="1"/>
  <c r="L270" i="215"/>
  <c r="M270" i="215" s="1"/>
  <c r="N390" i="215"/>
  <c r="O390" i="215" s="1"/>
  <c r="E383" i="215"/>
  <c r="J371" i="215"/>
  <c r="N371" i="215" s="1"/>
  <c r="O371" i="215" s="1"/>
  <c r="H371" i="215"/>
  <c r="L151" i="215"/>
  <c r="M151" i="215" s="1"/>
  <c r="L63" i="215"/>
  <c r="M63" i="215" s="1"/>
  <c r="N51" i="215"/>
  <c r="O51" i="215" s="1"/>
  <c r="L51" i="215"/>
  <c r="M51" i="215" s="1"/>
  <c r="K51" i="215"/>
  <c r="J157" i="215"/>
  <c r="H157" i="215"/>
  <c r="L390" i="215"/>
  <c r="M390" i="215" s="1"/>
  <c r="K390" i="215"/>
  <c r="L367" i="215"/>
  <c r="M367" i="215" s="1"/>
  <c r="K367" i="215"/>
  <c r="F48" i="215"/>
  <c r="N344" i="215"/>
  <c r="O344" i="215" s="1"/>
  <c r="L344" i="215"/>
  <c r="M344" i="215" s="1"/>
  <c r="K344" i="215"/>
  <c r="F280" i="215"/>
  <c r="K101" i="215"/>
  <c r="L101" i="215"/>
  <c r="M101" i="215" s="1"/>
  <c r="N101" i="215"/>
  <c r="O101" i="215" s="1"/>
  <c r="K181" i="215"/>
  <c r="N181" i="215"/>
  <c r="O181" i="215" s="1"/>
  <c r="L181" i="215"/>
  <c r="M181" i="215" s="1"/>
  <c r="K100" i="215"/>
  <c r="L204" i="215"/>
  <c r="M204" i="215" s="1"/>
  <c r="K204" i="215"/>
  <c r="N222" i="215"/>
  <c r="O222" i="215" s="1"/>
  <c r="N66" i="215"/>
  <c r="O66" i="215" s="1"/>
  <c r="L66" i="215"/>
  <c r="M66" i="215" s="1"/>
  <c r="K66" i="215"/>
  <c r="N302" i="215"/>
  <c r="O302" i="215" s="1"/>
  <c r="L302" i="215"/>
  <c r="M302" i="215" s="1"/>
  <c r="K302" i="215"/>
  <c r="J50" i="215"/>
  <c r="H50" i="215"/>
  <c r="G49" i="215"/>
  <c r="K176" i="215"/>
  <c r="L176" i="215"/>
  <c r="M176" i="215" s="1"/>
  <c r="N176" i="215"/>
  <c r="O176" i="215" s="1"/>
  <c r="J383" i="215"/>
  <c r="H383" i="215"/>
  <c r="L327" i="215"/>
  <c r="M327" i="215" s="1"/>
  <c r="J150" i="215"/>
  <c r="H150" i="215"/>
  <c r="F209" i="215"/>
  <c r="N289" i="215"/>
  <c r="O289" i="215" s="1"/>
  <c r="K289" i="215"/>
  <c r="L289" i="215"/>
  <c r="M289" i="215" s="1"/>
  <c r="E48" i="215"/>
  <c r="E209" i="215"/>
  <c r="N63" i="215"/>
  <c r="O63" i="215" s="1"/>
  <c r="J269" i="215"/>
  <c r="N269" i="215" s="1"/>
  <c r="O269" i="215" s="1"/>
  <c r="H269" i="215"/>
  <c r="H202" i="215"/>
  <c r="J202" i="215"/>
  <c r="N367" i="215"/>
  <c r="O367" i="215" s="1"/>
  <c r="H252" i="215"/>
  <c r="J252" i="215"/>
  <c r="N252" i="215" s="1"/>
  <c r="O252" i="215" s="1"/>
  <c r="J282" i="215"/>
  <c r="G281" i="215"/>
  <c r="H282" i="215"/>
  <c r="K158" i="215"/>
  <c r="L158" i="215"/>
  <c r="M158" i="215" s="1"/>
  <c r="L13" i="215" l="1"/>
  <c r="K327" i="215"/>
  <c r="N13" i="215"/>
  <c r="I12" i="215"/>
  <c r="I281" i="215"/>
  <c r="I280" i="215" s="1"/>
  <c r="N332" i="215"/>
  <c r="O332" i="215" s="1"/>
  <c r="L332" i="215"/>
  <c r="M332" i="215" s="1"/>
  <c r="K379" i="215"/>
  <c r="L379" i="215"/>
  <c r="M379" i="215" s="1"/>
  <c r="L216" i="215"/>
  <c r="M216" i="215" s="1"/>
  <c r="N216" i="215"/>
  <c r="O216" i="215" s="1"/>
  <c r="N150" i="215"/>
  <c r="O150" i="215" s="1"/>
  <c r="K150" i="215"/>
  <c r="K202" i="215"/>
  <c r="L202" i="215"/>
  <c r="M202" i="215" s="1"/>
  <c r="K269" i="215"/>
  <c r="L150" i="215"/>
  <c r="M150" i="215" s="1"/>
  <c r="K371" i="215"/>
  <c r="L371" i="215"/>
  <c r="M371" i="215" s="1"/>
  <c r="H281" i="215"/>
  <c r="G280" i="215"/>
  <c r="N282" i="215"/>
  <c r="O282" i="215" s="1"/>
  <c r="L282" i="215"/>
  <c r="M282" i="215" s="1"/>
  <c r="K282" i="215"/>
  <c r="N202" i="215"/>
  <c r="O202" i="215" s="1"/>
  <c r="K157" i="215"/>
  <c r="N157" i="215"/>
  <c r="O157" i="215" s="1"/>
  <c r="L157" i="215"/>
  <c r="M157" i="215" s="1"/>
  <c r="L383" i="215"/>
  <c r="M383" i="215" s="1"/>
  <c r="K383" i="215"/>
  <c r="N383" i="215"/>
  <c r="O383" i="215" s="1"/>
  <c r="E281" i="215"/>
  <c r="E47" i="215"/>
  <c r="N294" i="215"/>
  <c r="O294" i="215" s="1"/>
  <c r="L294" i="215"/>
  <c r="M294" i="215" s="1"/>
  <c r="K294" i="215"/>
  <c r="J209" i="215"/>
  <c r="H209" i="215"/>
  <c r="K50" i="215"/>
  <c r="N50" i="215"/>
  <c r="O50" i="215" s="1"/>
  <c r="L50" i="215"/>
  <c r="M50" i="215" s="1"/>
  <c r="O13" i="215"/>
  <c r="K180" i="215"/>
  <c r="L180" i="215"/>
  <c r="M180" i="215" s="1"/>
  <c r="N180" i="215"/>
  <c r="O180" i="215" s="1"/>
  <c r="F47" i="215"/>
  <c r="M13" i="215"/>
  <c r="G48" i="215"/>
  <c r="H49" i="215"/>
  <c r="J49" i="215"/>
  <c r="L269" i="215"/>
  <c r="M269" i="215" s="1"/>
  <c r="K252" i="215"/>
  <c r="L252" i="215"/>
  <c r="M252" i="215" s="1"/>
  <c r="I11" i="215" l="1"/>
  <c r="I10" i="215" s="1"/>
  <c r="I395" i="215" s="1"/>
  <c r="J281" i="215"/>
  <c r="F46" i="215"/>
  <c r="K209" i="215"/>
  <c r="N209" i="215"/>
  <c r="O209" i="215" s="1"/>
  <c r="N281" i="215"/>
  <c r="O281" i="215" s="1"/>
  <c r="E280" i="215"/>
  <c r="J280" i="215"/>
  <c r="H280" i="215"/>
  <c r="K281" i="215"/>
  <c r="L281" i="215"/>
  <c r="M281" i="215" s="1"/>
  <c r="E46" i="215"/>
  <c r="L209" i="215"/>
  <c r="M209" i="215" s="1"/>
  <c r="K49" i="215"/>
  <c r="N49" i="215"/>
  <c r="O49" i="215" s="1"/>
  <c r="L49" i="215"/>
  <c r="M49" i="215" s="1"/>
  <c r="H48" i="215"/>
  <c r="J48" i="215"/>
  <c r="G47" i="215"/>
  <c r="E12" i="215" l="1"/>
  <c r="E11" i="215" s="1"/>
  <c r="K280" i="215"/>
  <c r="L280" i="215"/>
  <c r="M280" i="215" s="1"/>
  <c r="H47" i="215"/>
  <c r="G46" i="215"/>
  <c r="K48" i="215"/>
  <c r="J47" i="215"/>
  <c r="L48" i="215"/>
  <c r="M48" i="215" s="1"/>
  <c r="N48" i="215"/>
  <c r="O48" i="215" s="1"/>
  <c r="N280" i="215"/>
  <c r="O280" i="215" s="1"/>
  <c r="F12" i="215"/>
  <c r="F11" i="215" s="1"/>
  <c r="K47" i="215" l="1"/>
  <c r="J46" i="215"/>
  <c r="N47" i="215"/>
  <c r="O47" i="215" s="1"/>
  <c r="L47" i="215"/>
  <c r="M47" i="215" s="1"/>
  <c r="H46" i="215"/>
  <c r="G12" i="215"/>
  <c r="E10" i="215"/>
  <c r="F10" i="215"/>
  <c r="F395" i="215" l="1"/>
  <c r="E395" i="215"/>
  <c r="K46" i="215"/>
  <c r="J12" i="215"/>
  <c r="K12" i="215" s="1"/>
  <c r="N46" i="215"/>
  <c r="L46" i="215"/>
  <c r="G11" i="215"/>
  <c r="H12" i="215"/>
  <c r="H11" i="215" l="1"/>
  <c r="G10" i="215"/>
  <c r="J11" i="215"/>
  <c r="M46" i="215"/>
  <c r="L12" i="215"/>
  <c r="M12" i="215" s="1"/>
  <c r="O46" i="215"/>
  <c r="N12" i="215"/>
  <c r="O12" i="215" s="1"/>
  <c r="K11" i="215" l="1"/>
  <c r="N11" i="215"/>
  <c r="O11" i="215" s="1"/>
  <c r="L11" i="215"/>
  <c r="M11" i="215" s="1"/>
  <c r="G395" i="215"/>
  <c r="H10" i="215"/>
  <c r="J10" i="215"/>
  <c r="H395" i="215" l="1"/>
  <c r="K10" i="215"/>
  <c r="L10" i="215"/>
  <c r="M10" i="215" s="1"/>
  <c r="N10" i="215"/>
  <c r="O10" i="215" s="1"/>
  <c r="J395" i="215"/>
  <c r="K395" i="215" l="1"/>
  <c r="N395" i="215"/>
  <c r="O395" i="215" s="1"/>
  <c r="L395" i="215"/>
  <c r="M395" i="215" s="1"/>
</calcChain>
</file>

<file path=xl/sharedStrings.xml><?xml version="1.0" encoding="utf-8"?>
<sst xmlns="http://schemas.openxmlformats.org/spreadsheetml/2006/main" count="761" uniqueCount="452">
  <si>
    <t>PROGRAM/KEGIATAN</t>
  </si>
  <si>
    <t>WAKTU</t>
  </si>
  <si>
    <t>PPK/PPTK</t>
  </si>
  <si>
    <t>(Rp.)</t>
  </si>
  <si>
    <t>(%)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</si>
  <si>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</si>
  <si>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</si>
  <si>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</si>
  <si>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</si>
  <si>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</si>
  <si>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</si>
  <si>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</si>
  <si>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</si>
  <si>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</si>
  <si>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</si>
  <si>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Jan - Des</t>
  </si>
  <si>
    <t>Belanja Makanan dan Minuman Rapat</t>
  </si>
  <si>
    <t>TOTAL BELANJA</t>
  </si>
  <si>
    <t>KODE</t>
  </si>
  <si>
    <t>REKENING</t>
  </si>
  <si>
    <t xml:space="preserve"> </t>
  </si>
  <si>
    <t>(11)</t>
  </si>
  <si>
    <t>(12)</t>
  </si>
  <si>
    <t>(5 -6)</t>
  </si>
  <si>
    <t>8/5*100)</t>
  </si>
  <si>
    <t>PROGRAM PENUNJANG URUSAN PEMERINTAHAN DAERAH KABUPATEN/KOTA</t>
  </si>
  <si>
    <t>KEGIATAN PERENCANAAN, PENGANGGARAN DAN EVALUASI KINERJA PERANGKAT DAERAH</t>
  </si>
  <si>
    <t>Sub Kegiatan Penyusunan Dokumen Perencanaan Perangkat Daerah</t>
  </si>
  <si>
    <t>5.1.02.01.01.0024</t>
  </si>
  <si>
    <t>Belanja Alat/Bahan Untuk Kegiatan Kantor-Alat Tulis Kantor</t>
  </si>
  <si>
    <t>Belanja Alat/Bahan Untuk Kegiatan Kantor-Bahan Cetak</t>
  </si>
  <si>
    <t>5.1.02.01.01.0026</t>
  </si>
  <si>
    <t>5.1.02.01.01.0052</t>
  </si>
  <si>
    <t>5.1.02.02.01.0026</t>
  </si>
  <si>
    <t>Belanja Jasa Tenaga Administrasi</t>
  </si>
  <si>
    <t>5.1.02.24.01.0001</t>
  </si>
  <si>
    <t>Perjalanan Dinas Biasa</t>
  </si>
  <si>
    <t>Sub Kegiatan Koordinasi dan Penyusunan Dokumen RKA-SKPD</t>
  </si>
  <si>
    <t>Sub Kegiatan Koordinasi dan Penyusunan Dokumen DPA-SKPD</t>
  </si>
  <si>
    <t>Sub Kegiatan Evaluasi Kinerja Perangkat Daerah</t>
  </si>
  <si>
    <t>KEGIATAN ADMINISTRASI KEUANGAN PERANGKAT DAERAH</t>
  </si>
  <si>
    <t>Sub Kegiatan Penyediaan Gaji dan Tunjangan ASN</t>
  </si>
  <si>
    <t>5.1.01.01</t>
  </si>
  <si>
    <t>Belanja Gaji dan Tunjangan ASN</t>
  </si>
  <si>
    <t>Pembulatan Gaji ASN</t>
  </si>
  <si>
    <t>5.1.01.02</t>
  </si>
  <si>
    <t>Sub Kegiatan Koordinasi dan Penyusunan Laporan Keuangan Bulanan/Triwulanan/Semesteran SKPD</t>
  </si>
  <si>
    <t>Belanja Honorarium Penanggunjawaban Pengelola Keuangan</t>
  </si>
  <si>
    <t>5.1.01.03.07.0001</t>
  </si>
  <si>
    <t>KEGIATAN ADMINISTRASI BARANG MILIK DAERAH PADA PERANGKAT DAERAH</t>
  </si>
  <si>
    <t>KEGIATAN ADMINISTRASI KEPEGAWAIAN PERANGKAT DAERAH</t>
  </si>
  <si>
    <t>Sub Kegiatan Pendataan dan Pengelolaan Administrasi Kepegawaian</t>
  </si>
  <si>
    <t>5.1.02.04.01.0001</t>
  </si>
  <si>
    <t>Sub Kegiatan Bimbingan Teknis Implementasi Peraturan Perundang - Undangan</t>
  </si>
  <si>
    <t>Sub Kegiatan Penyediaan Komponen Instalasi Listrik/Penerangan Bangunan Kantor</t>
  </si>
  <si>
    <t>Sub Kegiatan Penyediaan Barang Cetakan dan Penggandaan</t>
  </si>
  <si>
    <t>Sub Kegiatan Penyediaan Bahan Bacaan dan Peraturan Perundang - undangan</t>
  </si>
  <si>
    <t>5.1.02.02.01.0062</t>
  </si>
  <si>
    <t>Belanja Langganan Jurnal/Surat Kabar/Majalah</t>
  </si>
  <si>
    <t>Sub Kegiatan Fasilitasi Kunjungan Tamu</t>
  </si>
  <si>
    <t>5.1.02.01.01.0053</t>
  </si>
  <si>
    <t>Belanja Makanan dan Minuman Jamuan Tamu</t>
  </si>
  <si>
    <t>5.1.02.02.01.0033</t>
  </si>
  <si>
    <t>Belanja Perjalanan Dinas Biasa</t>
  </si>
  <si>
    <t>KEGIATAN PENGADAAN BARANG MILIK DAERAH PENUNJANG URUSAN PEMERINTAH DAERAH</t>
  </si>
  <si>
    <t>Sub Kegiatan Pengadaan Mebel</t>
  </si>
  <si>
    <t>KEGIATAN PEMELIHARAAN BARANG MILIK DAERAH PENUNJANG URUSAN PEMERINTAH DAERAH</t>
  </si>
  <si>
    <t>5.1.02.03.02.0035</t>
  </si>
  <si>
    <t>Belanja Pemeliharaan Alat-Alat Angkutan Darat Bermotor - Kendaraan Dinas Bermotor Perorangan</t>
  </si>
  <si>
    <t>Sub Kegiatan Pemeliharaan Peralatan dan Mesin Lainnya</t>
  </si>
  <si>
    <t>Sub Kegiatan Pemeliharaan/Rehabilitasi Gedung Kantor dan Bangunan Lainnya</t>
  </si>
  <si>
    <t>5.1.02.03.03.0001</t>
  </si>
  <si>
    <t>Belanja Pemeliharaan Bangunan Gedung-Bangunan Gedung Tempat Kerja-Bangunan Gedung Kantor</t>
  </si>
  <si>
    <t>5.1.02.02.01.0003</t>
  </si>
  <si>
    <t>Belanja Alat/Bahan untuk Kegiatan Kantor-Alat Tulis Kantor</t>
  </si>
  <si>
    <t>Belanja Alat/Bahan untuk Kegiatan Kantor-Bahan Cetak</t>
  </si>
  <si>
    <t>Belanja Sewa Hotel</t>
  </si>
  <si>
    <t>Sub Kegiatan Penatausahaan Barang Milik Daerah pada SKPD</t>
  </si>
  <si>
    <t>KEGIATAN ADMINISTRASI UMUM PERANGKAT DAERAH</t>
  </si>
  <si>
    <t>Sub Kegiatan Penyediaan Bahan Logistik Kantor</t>
  </si>
  <si>
    <t>Belanja Jasa Tenaga Sopir</t>
  </si>
  <si>
    <t>KEGIATAN PENYEDIAAN JASA PENUNJANG URUSAN PEMERINTAHAN DAERAH</t>
  </si>
  <si>
    <t>Sub Kegiatan Penyediaan Jasa Surat Menyurat</t>
  </si>
  <si>
    <t>Sub Kegiatan Penyediaan Jasa Komunikasi, Sumber Daya Air dan Listrik</t>
  </si>
  <si>
    <t>5.1.02.02.01.0060</t>
  </si>
  <si>
    <t>Belanja Tagihan Air</t>
  </si>
  <si>
    <t>5.1.02.02.01.0061</t>
  </si>
  <si>
    <t>Belanja Tagihan Listrik</t>
  </si>
  <si>
    <t>Belanja Kawat/Faksimili/Internet/TV Berlangganan</t>
  </si>
  <si>
    <t>Sub Kegiatan Penyediaan Jasa Pelayanan Umum Kantor</t>
  </si>
  <si>
    <t>5.1.02.02.01.0030</t>
  </si>
  <si>
    <t>5.1.02.02.01.0031</t>
  </si>
  <si>
    <t>Belanja Jasa Tenaga Kebersihan</t>
  </si>
  <si>
    <t>Belanja Jasa Tenaga Keamanan</t>
  </si>
  <si>
    <t>Sub Kegiatan Penyelenggaraan Rapat Koordinasi dan Konsultasi SKPD</t>
  </si>
  <si>
    <t>Belanja Modal Personal Computer</t>
  </si>
  <si>
    <t>Sub Kegiatan Penyediaan Peralatan dan Perlengkapan Kantor</t>
  </si>
  <si>
    <t>Honorarium Pejabat Pengadaan Barang dan Jasa</t>
  </si>
  <si>
    <t xml:space="preserve">          </t>
  </si>
  <si>
    <t>BADAN PENDAPATAN DAERAH</t>
  </si>
  <si>
    <t>UNSUR PENUNJANG URUSAN PEMERINTAHAN</t>
  </si>
  <si>
    <t>KEUANGAN</t>
  </si>
  <si>
    <t>5.02.01</t>
  </si>
  <si>
    <t>5.02.01.2.01</t>
  </si>
  <si>
    <t>5.02.01.2.01.01</t>
  </si>
  <si>
    <t>5.02.01.2.01.02</t>
  </si>
  <si>
    <t>5.02.01.2.01.04</t>
  </si>
  <si>
    <t>5.02.01.2.01.07</t>
  </si>
  <si>
    <t>5.02.01.2.02</t>
  </si>
  <si>
    <t>5.02.01.2.02.01</t>
  </si>
  <si>
    <t>5.02.01.2.02.03</t>
  </si>
  <si>
    <t>Sub Kegiatan Pelaksanaan Penatausahaan dan Pengujian/Verifikasi Keuangan SKPD</t>
  </si>
  <si>
    <t>5.02.01.2.03</t>
  </si>
  <si>
    <t>5.02.01.2.03.06</t>
  </si>
  <si>
    <t>5.02.01.2.05</t>
  </si>
  <si>
    <t>LAPORAN REALISASI ANGGARAN BELANJA</t>
  </si>
  <si>
    <t>5.02.01.2.05.03</t>
  </si>
  <si>
    <t>Sub Kegiatan Sosialisasi Peraturan Perundang - undangan</t>
  </si>
  <si>
    <t>5.02.01.2.05.11</t>
  </si>
  <si>
    <t>5.02.01.2.06</t>
  </si>
  <si>
    <t>5.02.01.2.06.01</t>
  </si>
  <si>
    <t>5.02.01.2.06.02</t>
  </si>
  <si>
    <t>5.02.01.2.06.04</t>
  </si>
  <si>
    <t>5.02.01.2.06.05</t>
  </si>
  <si>
    <t>5.02.01.2.06.06</t>
  </si>
  <si>
    <t>5.02.01.2.06.08</t>
  </si>
  <si>
    <t>5.02.01.2.06.09</t>
  </si>
  <si>
    <t>5.02.01.2.07</t>
  </si>
  <si>
    <t>5.02.01.2.07.05</t>
  </si>
  <si>
    <t>Sub Kegiatan Pengadaan Peralatan dan Mesin Lainnya</t>
  </si>
  <si>
    <t>5.02.01.2.07.06</t>
  </si>
  <si>
    <t>5.02.01.2.07.10</t>
  </si>
  <si>
    <t>Sub Kegiatan Pengadaan Sarana dan Prasarana Gedung Kantor atau Bangunan Lainnya</t>
  </si>
  <si>
    <t>5.02.01.2.08</t>
  </si>
  <si>
    <t>5.02.01.2.08.01</t>
  </si>
  <si>
    <t>5.02.01.2.08.02</t>
  </si>
  <si>
    <t>5.02.01.2.08.04</t>
  </si>
  <si>
    <t>5.02.01.2.09</t>
  </si>
  <si>
    <t>5.02.01.2.09.01</t>
  </si>
  <si>
    <t>Sub Kegiatan Penyediaan Jasa Pemeliharaan, Biaya Pemeliharaandan Pajak Kendaraan Perorangan Dinas atau Kendaraan Dinas Jabatan</t>
  </si>
  <si>
    <t>5.02.01.2.09.06</t>
  </si>
  <si>
    <t>5.02.01.2.09.09</t>
  </si>
  <si>
    <t>5.02.04</t>
  </si>
  <si>
    <t>PROGRAM PENGELOLAAN PENDAPATAN DAERAH</t>
  </si>
  <si>
    <t>5.01.04.2.01</t>
  </si>
  <si>
    <t>KEGIATAN PENGELOLAAN PENDAPATAN DAERAH</t>
  </si>
  <si>
    <t>5.02.04.2.01.01</t>
  </si>
  <si>
    <t>Sub Kegiatan Perencanaan Pengelolaan Pajak Daerah</t>
  </si>
  <si>
    <t>5.02.04.2.01.02</t>
  </si>
  <si>
    <t>Sub Kegiatan Analisa dan Pengembangan Pajak Daerah, serta Penyusunan Kebijakan Pajak Daerah</t>
  </si>
  <si>
    <t>5.02.04.2.01.03</t>
  </si>
  <si>
    <t>5.02.04.2.01.05</t>
  </si>
  <si>
    <t>Sub Kegiatan Pendataan dan Pendaftaran Objek Pajak Daerah</t>
  </si>
  <si>
    <t>5.02.04.2.01.07</t>
  </si>
  <si>
    <t>Sub Kegiatan Penilaian Pajak Bumi dan Bangunan Perdesaan dan Perkotaan (PBBP2) serta Bea Perolehan Hak atas Tanah dan Bangunan (BPHTB)</t>
  </si>
  <si>
    <t>5.02.04.2.01.08</t>
  </si>
  <si>
    <t>Sub Kegiatan Penetapan Wajib Pajak Daerah</t>
  </si>
  <si>
    <t>5.02.04.2.01.09</t>
  </si>
  <si>
    <t>Sub Kegiatan Pelayanan dan Konsultasi Pajak Daerah</t>
  </si>
  <si>
    <t>5.02.04.2.01.10</t>
  </si>
  <si>
    <t>Sub Kegiatan Penelitian Verifikasi Data Pelaporan Pajak Daerah</t>
  </si>
  <si>
    <t>5.02.04.2.01.11</t>
  </si>
  <si>
    <t>Sub Kegiatan Penagihan Pajak Daerah</t>
  </si>
  <si>
    <t>Belanja Perjalanan Dinas Dalam Propinsi</t>
  </si>
  <si>
    <t>Marlina, SE</t>
  </si>
  <si>
    <t>5.1.01</t>
  </si>
  <si>
    <t>Belanja Pegawai</t>
  </si>
  <si>
    <t>5.1</t>
  </si>
  <si>
    <t>Belanja Operasi</t>
  </si>
  <si>
    <t>5.1.01.03</t>
  </si>
  <si>
    <t>Tambahan Penghasilan Berdasarkan Pertimbangan Objektif Lainnya ASN</t>
  </si>
  <si>
    <t>5.1.01.03.01</t>
  </si>
  <si>
    <t>Belanja Insentif bagi ASN atas Pemungutan Pajak Daerah</t>
  </si>
  <si>
    <t>5.1.01.03.01.0006</t>
  </si>
  <si>
    <t>Belanja Insentif bagi ASN atas Pemungutan Pajak Hotel</t>
  </si>
  <si>
    <t>5.1.01.03.01.0007</t>
  </si>
  <si>
    <t>5.1.01.03.01.0008</t>
  </si>
  <si>
    <t>5.1.01.03.01.0009</t>
  </si>
  <si>
    <t>5.1.01.03.01.0010</t>
  </si>
  <si>
    <t>Belanja Insentif bagi ASN atas Pemungutan Pajak Restoran</t>
  </si>
  <si>
    <t>Belanja Insentif bagi ASN atas Pemungutan Pajak Hiburan</t>
  </si>
  <si>
    <t>Belanja Insentif bagi ASN atas Pemungutan Pajak Reklame</t>
  </si>
  <si>
    <t>Belanja Insentif bagi ASN atas Pemungutan Pajak Penerangan Jalan</t>
  </si>
  <si>
    <t>5.1.01.03.01.0012</t>
  </si>
  <si>
    <t>5.1.01.03.01.0014</t>
  </si>
  <si>
    <t>5.1.01.03.01.0015</t>
  </si>
  <si>
    <t>5.1.01.03.01.0016</t>
  </si>
  <si>
    <t>Belanja Insentif bagi ASN atas Pemungutan Pajak Air Tanah</t>
  </si>
  <si>
    <t>Belanja Insentif bagi ASN atas Pemungutan Pajak Mineral Bukan Logam dan Batuan</t>
  </si>
  <si>
    <t xml:space="preserve">Belanja Insentif bagi ASN atas Pemungutan Pajak Bumi dan Bangunan Pedesaan dan Perkotaan </t>
  </si>
  <si>
    <t>Belanja Insentif bagi ASN atas Pemungutan Bea Perolehan Hak atas Tanah dan Bangunan</t>
  </si>
  <si>
    <t>Belanja Insentif bagi ASN atas Pemungutan Retribusi Daerah</t>
  </si>
  <si>
    <t>5.1.01.03.02</t>
  </si>
  <si>
    <t>5.1.01.03.02.0001</t>
  </si>
  <si>
    <t>Belanja Insentif bagi ASN atas Pemungutan Retribusi Jasa Umum-Pelayanan Kesehatan</t>
  </si>
  <si>
    <t>5.1.01.03.02.0004</t>
  </si>
  <si>
    <t>5.1.01.03.02.0005</t>
  </si>
  <si>
    <t>5.1.01.03.02.0006</t>
  </si>
  <si>
    <t>5.1.01.03.02.0011</t>
  </si>
  <si>
    <t>5.1.01.03.02.0013</t>
  </si>
  <si>
    <t>5.1.01.03.02.0014</t>
  </si>
  <si>
    <t>5.1.01.03.02.0016</t>
  </si>
  <si>
    <t>5.1.01.03.02.0017</t>
  </si>
  <si>
    <t>5.1.01.03.02.0020</t>
  </si>
  <si>
    <t>5.1.01.03.02.0021</t>
  </si>
  <si>
    <t>5.1.01.03.02.0024</t>
  </si>
  <si>
    <t>5.1.01.03.02.0027</t>
  </si>
  <si>
    <t>Belanja Insentif bagi ASN atas Pemungutan Retribusi Jasa Umum-Pelayanan Parkir di Tepi Jalan Umum</t>
  </si>
  <si>
    <t>Belanja Insentif bagi ASN atas Pemungutan Retribusi Jasa Umum-Pelayanan Pasar</t>
  </si>
  <si>
    <t>Belanja Insentif bagi ASN atas Pemungutan Retribusi Jasa Umum-Pelayanan Tera/Tera Ulang</t>
  </si>
  <si>
    <t>Belanja Insentif bagi ASN atas Pemungutan Retribusi Jasa Umum-Pengawasan dan Pengendalian Menara Telekomunikasi</t>
  </si>
  <si>
    <t>Belanja Insentif bagi ASN atas Pemungutan Retribusi Jasa Usaha-Pemakaian Kekayaan Daerah</t>
  </si>
  <si>
    <t>Belanja Insentif bagi ASN atas Pemungutan Retribusi Jasa Usaha-Tempat Pelelangan</t>
  </si>
  <si>
    <t>Belanja Insentif bagi ASN atas Pemungutan Retribusi Jasa Usaha-Terminal</t>
  </si>
  <si>
    <t>Belanja Insentif bagi ASN atas Pemungutan Retribusi Jasa Usaha-Rumah Potong Hewan</t>
  </si>
  <si>
    <t>Belanja Insentif bagi ASN atas Pemungutan Retribusi Jasa Usaha-Pelayanan Kepelabuhanan</t>
  </si>
  <si>
    <t>Belanja Insentif bagi ASN atas Pemungutan Retribusi Jasa Usaha-Penjualan Produksi Usaha Daerah</t>
  </si>
  <si>
    <t>Belanja Insentif bagi ASN atas Pemungutan Retribusi Perizinan Tertentu-Izin Trayek untuk Menyediakan Pelayanan Angkutan Umum</t>
  </si>
  <si>
    <t>5.1.01.05</t>
  </si>
  <si>
    <t>Belanja Gaji dan Tunjangan KDH/WKDH</t>
  </si>
  <si>
    <t>5.1.01.05.10</t>
  </si>
  <si>
    <t>Belanja Insentif bagi KDH/WKDH atas Pemungutan Pajak Hotel</t>
  </si>
  <si>
    <t>5.1.01.05.10.0006</t>
  </si>
  <si>
    <t>Belanja Insentif bagi KDH/WKDH atas Pemungutan Pajak Daerah</t>
  </si>
  <si>
    <t>5.1.01.05.10.0007</t>
  </si>
  <si>
    <t>5.1.01.05.10.0008</t>
  </si>
  <si>
    <t>Belanja Insentif bagi KDH/WKDH atas Pemungutan Pajak Restoran</t>
  </si>
  <si>
    <t>Belanja Insentif bagi KDH/WKDH atas Pemungutan Pajak Hiburan</t>
  </si>
  <si>
    <t>5.1.01.05.10.0009</t>
  </si>
  <si>
    <t>Belanja Insentif bagi KDH/WKDH atas Pemungutan Pajak Reklame</t>
  </si>
  <si>
    <t>5.1.01.05.10.0010</t>
  </si>
  <si>
    <t>Belanja Insentif bagi KDH/WKDH atas Pemungutan Pajak Penerangan Jalan</t>
  </si>
  <si>
    <t>5.1.01.05.10.0012</t>
  </si>
  <si>
    <t>Belanja Insentif bagi KDH/WKDH atas Pemungutan Pajak Air Tanah</t>
  </si>
  <si>
    <t>Belanja Insentif bagi KDH/WKDH atas Pemungutan Pajak Mineral Bukan Logam dan Batuan</t>
  </si>
  <si>
    <t>5.1.01.05.10.0014</t>
  </si>
  <si>
    <t>5.1.01.05.10.0016</t>
  </si>
  <si>
    <t>Belanja Insentif bagi KDH/WKDH atas Pemungutan Bea Perolehan hak atas Tanah dan Bangunan</t>
  </si>
  <si>
    <t>5.1.01.05.11</t>
  </si>
  <si>
    <t>Belanja Insentif bagi KDH/WKDH atas Pemungutan Retribusi Daerah bagi KDH/WKDH</t>
  </si>
  <si>
    <t>5.1.01.05.11.0001</t>
  </si>
  <si>
    <t>5.1.01.05.11.0004</t>
  </si>
  <si>
    <t>5.1.01.05.11.0005</t>
  </si>
  <si>
    <t>5.1.01.05.11.0006</t>
  </si>
  <si>
    <t>5.1.01.05.11.0011</t>
  </si>
  <si>
    <t>Belanja Insentif Pemungutan bagi KDH/WKDH atas Retribusi Jasa Umum-Pelayanan Kesehatan</t>
  </si>
  <si>
    <t>Belanja Insentif Pemungutan bagi KDH/WKDH atas Retribusi Jasa Umum-Pelayanan Parkir di Tepi Jalan Umum</t>
  </si>
  <si>
    <t>Belanja Insentif Pemungutan bagi KDH/WKDH atas Retribusi Jasa Umum-Pelayanan Pasar</t>
  </si>
  <si>
    <t>Belanja Insentif Pemungutan bagi KDH/WKDH atas Retribusi Jasa Umum-Pengujian Kendaraan Bermotor</t>
  </si>
  <si>
    <t>Belanja Insentif Pemungutan bagi KDH/WKDH atas Retribusi Jasa Umum-Pelayanan Tera/Tera Ulang</t>
  </si>
  <si>
    <t>5.1.01.05.11.0013</t>
  </si>
  <si>
    <t>5.1.01.05.11.0014</t>
  </si>
  <si>
    <t>5.1.01.05.11.0016</t>
  </si>
  <si>
    <t>5.1.01.05.11.0017</t>
  </si>
  <si>
    <t>5.1.01.05.11.0020</t>
  </si>
  <si>
    <t>Belanja Insentif Pemungutan bagi KDH/WKDH atas Retribusi Jasa Umum-Pengawasan dan Pengendalian Menara Telekomunikasi</t>
  </si>
  <si>
    <t>Belanja Insentif Pemungutan bagi KDH/WKDH atas Retribusi Jasa Usaha-Pemakaian Kekayaan Daerah</t>
  </si>
  <si>
    <t>Belanja Insentif Pemungutan bagi KDH/WKDH atas Retribusi Jasa Usaha-Tempat Pelelangan</t>
  </si>
  <si>
    <t>Belanja Insentif Pemungutan bagi KDH/WKDH atas Retribusi Jasa Usaha-Terminal</t>
  </si>
  <si>
    <t>Belanja Insentif Pemungutan bagi KDH/WKDH atas Retribusi Jasa Usaha-Rumah Potong Hewan</t>
  </si>
  <si>
    <t>5.1.01.05.11.0021</t>
  </si>
  <si>
    <t>Belanja Insentif Pemungutan bagi KDH/WKDH atas Retribusi Jasa Usaha-Pelayanan Kepelabuhanan</t>
  </si>
  <si>
    <t>5.1.01.05.11.0024</t>
  </si>
  <si>
    <t>5.1.01.05.11.0027</t>
  </si>
  <si>
    <t>Belanja Insentif Pemungutan bagi KDH/WKDH atas Retribusi Jasa Usaha-Penjualan Produksi Usaha Daerah</t>
  </si>
  <si>
    <t>Belanja Insentif Pemungutan bagi KDH/WKDH atas Retribusi Perizinan Tertentu-Izin Trayek untuk Menyediakan Pelayanan Angkutan Umum</t>
  </si>
  <si>
    <t>5.1.02.04.01.0024</t>
  </si>
  <si>
    <t>5.1.02.04.01.0026</t>
  </si>
  <si>
    <t>5.02.01.2.02.07</t>
  </si>
  <si>
    <t>5.1.01.03.08.0002</t>
  </si>
  <si>
    <t>Belanja Jasa Pengelolaan BMD yang tidak Menghasilkan Pendapatan</t>
  </si>
  <si>
    <t>5.02.01.01.05.10</t>
  </si>
  <si>
    <t>Honorarium Narasuber atau Pembahas, Moderator, Pembawa Acara dan Panitia</t>
  </si>
  <si>
    <t>5.1.02.02.04.0035</t>
  </si>
  <si>
    <t>Belanja Sewa Kendaraan Dinas Bermotor Perorangan</t>
  </si>
  <si>
    <t>5.1.02.02.12.0003</t>
  </si>
  <si>
    <t>Belanja Bimbingan Teknis</t>
  </si>
  <si>
    <t>5.1.02.01.01.0031</t>
  </si>
  <si>
    <t>Belanja Alat/Bahan Untuk Kegiatan Kantor-Alat Listrik</t>
  </si>
  <si>
    <t>5.1.02.01.0.0012</t>
  </si>
  <si>
    <t>Belanja Bahan - Bahan Lainnya</t>
  </si>
  <si>
    <t>5.1.02.02.01.0064</t>
  </si>
  <si>
    <t>Belanja Paket/Pengiriman</t>
  </si>
  <si>
    <t>5.1.02.02.01.0063</t>
  </si>
  <si>
    <t>5.1.01.03.07.001</t>
  </si>
  <si>
    <t>5.1.02.03.02.0117</t>
  </si>
  <si>
    <t>Belanja Pemeliharaan Alat Kantor dan Rumah Tangga-Alat Kantor-Alat Kantor Lainnya</t>
  </si>
  <si>
    <t>5.1.02.03.02.0411</t>
  </si>
  <si>
    <t>Belanja Pemeliharaan Komputer-Peralatan Komputer-Peralatan Komputer Lainnya</t>
  </si>
  <si>
    <t>5.1.02.02.09.0013</t>
  </si>
  <si>
    <t>Belanja Jasa Konsultansi Berorientasi Layanan-Jasa Konsultansi Manajemen</t>
  </si>
  <si>
    <t>Chaeruddin Arfah M, S.IP</t>
  </si>
  <si>
    <t>Herawati Rijal, SE</t>
  </si>
  <si>
    <t>Agus Abdullah, SE, M.Si</t>
  </si>
  <si>
    <t>Jan-Des</t>
  </si>
  <si>
    <t>Jan-Mar</t>
  </si>
  <si>
    <t xml:space="preserve"> SISA ANGGARAN / TAHUN</t>
  </si>
  <si>
    <t>JUMLAH PAGU</t>
  </si>
  <si>
    <t>(13)</t>
  </si>
  <si>
    <t>(14)</t>
  </si>
  <si>
    <t>(15)</t>
  </si>
  <si>
    <t>(7/6*100)</t>
  </si>
  <si>
    <t>TOTAL REALISASI SP2D</t>
  </si>
  <si>
    <t>REALISASI                                                     BULAN LALU (SP2D)</t>
  </si>
  <si>
    <t>REALISASI  BULAN INI (SP2D)</t>
  </si>
  <si>
    <t>Nip. 197903132005021010</t>
  </si>
  <si>
    <t>5.1.02.01.01.0003</t>
  </si>
  <si>
    <t>Honorarium Narasumber atau Pembahas, Moderator, Pembawa Acara dan Panitia</t>
  </si>
  <si>
    <t>MUHAMMAD SAID, SE,MM</t>
  </si>
  <si>
    <t>Kepala Badan</t>
  </si>
  <si>
    <t>JUMLAH ANGGARAN TRIWULAN I</t>
  </si>
  <si>
    <t>5.1.02.01.01.0025</t>
  </si>
  <si>
    <t>5.1.02.01.01.0029</t>
  </si>
  <si>
    <t>Belanja Alat/Bahan Untuk Kegiatan Kantor-Bahan Komputer</t>
  </si>
  <si>
    <t>SISA ANGGARAN TRIWULAN I</t>
  </si>
  <si>
    <t>Belanja Alat/Bahan untuk Kegiatan Kantor-Kertas dan Cover</t>
  </si>
  <si>
    <t>Belanja Insentif bagi ASN atas Pemungutan Retribusi Jasa Umum-Pengujian Kendaraan Bermotor</t>
  </si>
  <si>
    <t>5.1.01.05.10.0015</t>
  </si>
  <si>
    <t>Belanja Insentif bagi KDH/WKDH atas Pemungutan Pajak Bumi dan Bangunan dan Perkotaan</t>
  </si>
  <si>
    <t>5.2.02.05.02.0001</t>
  </si>
  <si>
    <t>Belanja Modal Mebel</t>
  </si>
  <si>
    <t>5.2.02.05.02.0006</t>
  </si>
  <si>
    <t>Belanja Modal Alat Rumah Tangga Lainnya (Home Use)</t>
  </si>
  <si>
    <t>Belanja Modal Bangunan Gedung Kantor</t>
  </si>
  <si>
    <t>5.1.02.01.01.0035</t>
  </si>
  <si>
    <t>Belanja Alat/Bahan untuk Kegiatan Souvenir/Cendera Mata</t>
  </si>
  <si>
    <t>Belanja Perjalanan Dinas Dalam Daerah</t>
  </si>
  <si>
    <t>Belanja Perjalanan Dinas Luar Propinsi</t>
  </si>
  <si>
    <t>Jan-Juni</t>
  </si>
  <si>
    <t>Mar - Juni</t>
  </si>
  <si>
    <t>April - Jun</t>
  </si>
  <si>
    <t>Perjalanan Dinas Dalam Daerah</t>
  </si>
  <si>
    <t>Perjalanan Dinas Luar Daerah Dalam Propinsi</t>
  </si>
  <si>
    <t>Perjalanan Dinas Luar Daerah Luar Propinsi</t>
  </si>
  <si>
    <t>Perjalanan Dinas Dalam Propinsi</t>
  </si>
  <si>
    <t>Perjalanan Dinas Luar Propinsi</t>
  </si>
  <si>
    <t>Andi Muh. Reza, S.STP, M.Si</t>
  </si>
  <si>
    <t>Jasa Pendistribusian SPPT PBB-P2 Camat</t>
  </si>
  <si>
    <t>Jasa Pendistribusian SPPT PBB-P2 Desa</t>
  </si>
  <si>
    <t>Jasa Pendistribusian SSPD PBB-P2 Desa</t>
  </si>
  <si>
    <t>Jasa Tenaga Administrasi</t>
  </si>
  <si>
    <t>Pangkat : Pembina Tk. I</t>
  </si>
  <si>
    <t>Jan- Des</t>
  </si>
  <si>
    <t>PELAKSANAAN</t>
  </si>
  <si>
    <t>Sub Kegiatan Penyuluhan dan Penyebarluasan Kebijakan Pajak Daerah</t>
  </si>
  <si>
    <t>C</t>
  </si>
  <si>
    <t>Belanja Honorarium Penanggungjawaban Pengelola Keuangan</t>
  </si>
  <si>
    <t>Gaji Pokok PNS</t>
  </si>
  <si>
    <t>Tunjangan Keluarga PNS</t>
  </si>
  <si>
    <t>Tunjangan Jabatan PNS</t>
  </si>
  <si>
    <t>Tunjangan Fungsional Umum PNS</t>
  </si>
  <si>
    <t>Tunjangan Beras PNS</t>
  </si>
  <si>
    <t>Tinjangan Pph/Tunjangan Khusus PNS</t>
  </si>
  <si>
    <t>5.1.01.01.01.0001</t>
  </si>
  <si>
    <t>5.1.01.01.02.0001</t>
  </si>
  <si>
    <t>5.1.01.01.03.0001</t>
  </si>
  <si>
    <t>5.1.01.01.05.0001</t>
  </si>
  <si>
    <t>5.1.01.01.06.0001</t>
  </si>
  <si>
    <t>5.1.01.01.07.0001</t>
  </si>
  <si>
    <t>5.1.01.01.08.0001</t>
  </si>
  <si>
    <t>5.1.01.01.01.0002</t>
  </si>
  <si>
    <t>Gaji Pokok PPPK</t>
  </si>
  <si>
    <t>5.1.01.01.02.0002</t>
  </si>
  <si>
    <t>5.1.01.01.05.0002</t>
  </si>
  <si>
    <t>5.1.01.01.06.0002</t>
  </si>
  <si>
    <t>5.1.01.01.08.0002</t>
  </si>
  <si>
    <t>Tunjangan Keluarga PPPK</t>
  </si>
  <si>
    <t>Tunjangan Beras PPPK</t>
  </si>
  <si>
    <t>Pembulatan Gaji PPPK</t>
  </si>
  <si>
    <t>Tunjangan Fungsional PPPK</t>
  </si>
  <si>
    <t>5.1.01.02.01.0001</t>
  </si>
  <si>
    <t>Belanja Tambahan Penghasilan ASN</t>
  </si>
  <si>
    <t>Tambahan Penghasilan Berdasarkan Beban Kerja PNS</t>
  </si>
  <si>
    <t>5.1.01.02.01.0002</t>
  </si>
  <si>
    <t>Tambahan Penghasilan Berdasarkan Beban Kerja PPPK</t>
  </si>
  <si>
    <t>Belanja Insentif bagi ASN atas Pemungutan Pajak Parkir</t>
  </si>
  <si>
    <t>5.1.01.03.01.0013</t>
  </si>
  <si>
    <t>Belanja Insentif bagi ASN atas Pemungutan Pajak Sarang Burung Walet</t>
  </si>
  <si>
    <t>5.1.01.03.02.0009</t>
  </si>
  <si>
    <t>Belanja Insentif bagi ASN atas Pemungutan Retribusi Jasa Umum-Penyediaan dan/atau Penyedotan Kakus yang Dilakukan oleh Pemerintah Daerah</t>
  </si>
  <si>
    <t>5.1.01.03.02.0015</t>
  </si>
  <si>
    <t>Belanja Insentif bagi ASN atas Pemungutan Retribusi Jasa Usaha-Pasar Grosir dan atau Pertokoan</t>
  </si>
  <si>
    <t>5.1.01.03.02.0018</t>
  </si>
  <si>
    <t>Belanja Insentif bagi ASN atas Pemungutan Retribusi Jasa Usaha-Tempat Khusus Parkir</t>
  </si>
  <si>
    <t>5.1.01.03.02.0019</t>
  </si>
  <si>
    <t>Belanja Insentif bagi ASN atas Pemungutan Retribusi Jasa Usaha-Tempat Penginapan/Pesanggrahan/Villa</t>
  </si>
  <si>
    <t>5.1.01.03.02.0022</t>
  </si>
  <si>
    <t>Belanja Insentif bagi ASN atas Pemungutan Retribusi Jasa Usaha-Tempat Rekreasi dan Olah Raga</t>
  </si>
  <si>
    <t>5.1.01.03.02.0031</t>
  </si>
  <si>
    <t>Belanja Insentif bagi ASN atas Pemungutan Retribusi Perizinan Tertentu-Persetujuan Bangunan Gedung</t>
  </si>
  <si>
    <t>5.1.01.03.02.0032</t>
  </si>
  <si>
    <t>Belanja Insentif bagi ASN atas Pemungutan Retribusi Perizinan Tertentu-Penggunaan Tenaga Kerja Asing (TKA)</t>
  </si>
  <si>
    <t>5.1.01.05.10.0011</t>
  </si>
  <si>
    <t>Belanja Insentif bagi KDH/WKDH atas Pemungutan Pajak Parkir</t>
  </si>
  <si>
    <t>5.1.01.05.10.0013</t>
  </si>
  <si>
    <t>Belanja Insentif bagi KDH/WKDH atas Pajak Sarang Burung Walet</t>
  </si>
  <si>
    <t>5.1.01.05.11.0009</t>
  </si>
  <si>
    <t>Belanja Insentif Pemungutan bagi KDH/WKDH atas Retribusi Jasa Umum-Penyediaan dan/atau Penyedotan Kakus</t>
  </si>
  <si>
    <t>5.1.01.05.11.0015</t>
  </si>
  <si>
    <t>Belanja Insentif Pemungutan bagi KDH/WKDH atas Retribusi Jasa Usaha-Pemakaian Kekayaan Daerahasar Grosir dan/atau Pertokoan</t>
  </si>
  <si>
    <t>5.1.01.05.11.0018</t>
  </si>
  <si>
    <t>Belanja Insentif Pemungutan bagi KDH/WKDH atas Retribusi Jasa Usaha-Tempat Khusus Parkir</t>
  </si>
  <si>
    <t>5.1.01.05.11.0019</t>
  </si>
  <si>
    <t>Belanja Insentif Pemungutan bagi KDH/WKDH atas Retribusi Jasa Usaha-Tempat Penginapan/Pesanggrahan/Vila</t>
  </si>
  <si>
    <t>5.1.01.05.11.0022</t>
  </si>
  <si>
    <t>Belanja Insentif Pemungutan bagi KDH/WKDH atas Retribusi Jasa Usaha-Tempat Rekreasi dan Olah Raga</t>
  </si>
  <si>
    <t>5.1.01.05.11.0031</t>
  </si>
  <si>
    <t>Belanja Insentif Pemungutan bagi KDH/WKDH atas Retribusi Perizinan Tertentu-Persetujuan Bangunan Gedung</t>
  </si>
  <si>
    <t>5.1.01.05.11.0032</t>
  </si>
  <si>
    <t>Belanja Insentif Pemungutan bagi KDH/WKDH atas Retribusi Perizinan Tertentu-Penggunaan Tenaga Kerja Asing (TKA)</t>
  </si>
  <si>
    <t>5.1.02.02.05.0043</t>
  </si>
  <si>
    <t>5.1.02.01.01.0012</t>
  </si>
  <si>
    <t>Bangku Tunggu 3 unit @ 1.850.000,0</t>
  </si>
  <si>
    <t>Kursi Rapat, 30 unit @ 500.000</t>
  </si>
  <si>
    <t>Kursi Layanan, 6 buah @ 1.000.000,0</t>
  </si>
  <si>
    <t>5.2.02.02.01.0004</t>
  </si>
  <si>
    <t>Belanja Modal Kendaraan Bermotor Roda Dua</t>
  </si>
  <si>
    <t>Administrasi Pengadaan Sepeda Motor 5 Unit</t>
  </si>
  <si>
    <t>Sepeda Motor Operasional/Lapangan</t>
  </si>
  <si>
    <t>5.2.02.05.02.0003</t>
  </si>
  <si>
    <t>Belanja Modal Alat Pembersih</t>
  </si>
  <si>
    <t>Mesin Babat Rumput, 2 unit @ 3.000.000,-</t>
  </si>
  <si>
    <t>Administrasi Pengadaan AC, 5 unit @ 70.000,-</t>
  </si>
  <si>
    <t>AC 1 PK 6 Unit @ 4.500.000,-</t>
  </si>
  <si>
    <t>AC 2 PK 5 Unit @ 8.000.000,-</t>
  </si>
  <si>
    <t>Dispenser, 1 unit @ 1.700.000</t>
  </si>
  <si>
    <t>Water Boiler 1 Unit @ 3.000.000,-</t>
  </si>
  <si>
    <t>5.2.02.10.01.0002</t>
  </si>
  <si>
    <t>Administrasi Pengadaan Laptop 10 unit</t>
  </si>
  <si>
    <t>Laptop 10 unit @ 12.000.000,-</t>
  </si>
  <si>
    <t>Administrasi Pengadaan PC + Monitor LCD , 4 unit</t>
  </si>
  <si>
    <t>PC + Monitor LCD, 4 unit @ 10.000.000,-</t>
  </si>
  <si>
    <t>5.2.02.10.02.0003</t>
  </si>
  <si>
    <t>Belanja Modal Peralatan Personal Computer</t>
  </si>
  <si>
    <t>Administrasi Pengadaan Printer, 6 unit @ 70.000,-</t>
  </si>
  <si>
    <t>Printer 6 unit @ 3.500.000,-</t>
  </si>
  <si>
    <t>5.2.02.15.02.0006</t>
  </si>
  <si>
    <t>Belanja Modal Alat Pelindung Lainnya</t>
  </si>
  <si>
    <t>Tenda, 2 unit @ 8.000.000,-</t>
  </si>
  <si>
    <t>5.2.03.01.01.0001</t>
  </si>
  <si>
    <t>Administrasi Dinding Partisi Luar Dalam</t>
  </si>
  <si>
    <t>Belanja Modal Dinding Partisi Luar Dalam</t>
  </si>
  <si>
    <t>Perencanaan Dinding Partisi Luar Dalam</t>
  </si>
  <si>
    <t>Pengawasan Dinding Partisi Luar Dalam</t>
  </si>
  <si>
    <t>Belanja Modal Pembangunan Aula Gedung Kantor</t>
  </si>
  <si>
    <t>Administrasi Pembangunan Aula Gedung Kantor</t>
  </si>
  <si>
    <t>Perencanaan Pembangunan Aula Gedung Kantor</t>
  </si>
  <si>
    <t>Pengawasan Pembangunan Aula Gedung Kantor</t>
  </si>
  <si>
    <t>Perjalanan Dinas Dalam Daerah Check Point</t>
  </si>
  <si>
    <t xml:space="preserve">Perjalanan Dinas Dalam Daerah </t>
  </si>
  <si>
    <t xml:space="preserve">Malili, 31 Maret 2024 </t>
  </si>
  <si>
    <t>SAMPAI DENGAN  31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</si>
</sst>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2"/>
      <color rgb="FFFF0000"/>
      <name val="Arial Narrow"/>
      <family val="2"/>
    </font>
    <font>
      <b/>
      <u/>
      <sz val="12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4" borderId="1" xfId="0" quotePrefix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1" fontId="4" fillId="2" borderId="0" xfId="0" applyNumberFormat="1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1" fontId="3" fillId="2" borderId="0" xfId="0" applyNumberFormat="1" applyFont="1" applyFill="1" applyAlignment="1">
      <alignment horizontal="center"/>
    </xf>
    <xf numFmtId="41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1" fontId="4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1" fontId="1" fillId="2" borderId="0" xfId="0" applyNumberFormat="1" applyFont="1" applyFill="1"/>
    <xf numFmtId="0" fontId="3" fillId="2" borderId="1" xfId="0" quotePrefix="1" applyFont="1" applyFill="1" applyBorder="1" applyAlignment="1">
      <alignment horizontal="left" vertical="center"/>
    </xf>
    <xf numFmtId="0" fontId="6" fillId="2" borderId="0" xfId="0" applyFont="1" applyFill="1"/>
    <xf numFmtId="41" fontId="3" fillId="2" borderId="0" xfId="0" applyNumberFormat="1" applyFont="1" applyFill="1" applyAlignment="1">
      <alignment horizontal="center" vertical="center"/>
    </xf>
    <xf numFmtId="41" fontId="3" fillId="3" borderId="0" xfId="0" applyNumberFormat="1" applyFont="1" applyFill="1"/>
    <xf numFmtId="164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left" vertical="center"/>
    </xf>
    <xf numFmtId="0" fontId="3" fillId="2" borderId="9" xfId="0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0" fillId="0" borderId="0" xfId="0" applyFont="1"/>
    <xf numFmtId="0" fontId="6" fillId="0" borderId="0" xfId="0" applyFont="1"/>
    <xf numFmtId="49" fontId="1" fillId="5" borderId="1" xfId="0" quotePrefix="1" applyNumberFormat="1" applyFont="1" applyFill="1" applyBorder="1" applyAlignment="1">
      <alignment horizontal="left" vertical="center"/>
    </xf>
    <xf numFmtId="49" fontId="2" fillId="3" borderId="1" xfId="0" quotePrefix="1" applyNumberFormat="1" applyFont="1" applyFill="1" applyBorder="1" applyAlignment="1">
      <alignment horizontal="left"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left" vertical="center"/>
    </xf>
    <xf numFmtId="3" fontId="3" fillId="0" borderId="1" xfId="0" applyNumberFormat="1" applyFont="1" applyBorder="1"/>
    <xf numFmtId="0" fontId="4" fillId="2" borderId="1" xfId="0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3" fontId="3" fillId="2" borderId="0" xfId="0" applyNumberFormat="1" applyFont="1" applyFill="1"/>
    <xf numFmtId="164" fontId="3" fillId="2" borderId="9" xfId="0" applyNumberFormat="1" applyFont="1" applyFill="1" applyBorder="1"/>
    <xf numFmtId="164" fontId="4" fillId="2" borderId="0" xfId="0" applyNumberFormat="1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765E-BD78-4205-A667-CD1692275955}">
  <dimension ref="A1:AL406"/>
  <sheetViews>
    <sheetView tabSelected="1" view="pageBreakPreview" topLeftCell="D1" zoomScale="90" zoomScaleNormal="100" zoomScaleSheetLayoutView="90" workbookViewId="0">
      <pane ySplit="7" topLeftCell="A146" activePane="bottomLeft" state="frozen"/>
      <selection pane="bottomLeft" activeCell="J152" sqref="J152"/>
    </sheetView>
  </sheetViews>
  <sheetFormatPr defaultRowHeight="15.6" x14ac:dyDescent="0.3"/>
  <cols>
    <col min="1" max="1" width="18.5546875" style="77" customWidth="1"/>
    <col min="2" max="2" width="51.109375" style="43" customWidth="1"/>
    <col min="3" max="3" width="20" style="43" customWidth="1"/>
    <col min="4" max="4" width="10.77734375" style="43" customWidth="1"/>
    <col min="5" max="5" width="18.44140625" style="43" customWidth="1"/>
    <col min="6" max="6" width="16.88671875" style="43" customWidth="1"/>
    <col min="7" max="7" width="16.6640625" style="43" customWidth="1"/>
    <col min="8" max="8" width="8.44140625" style="44" customWidth="1"/>
    <col min="9" max="9" width="17.109375" style="44" customWidth="1"/>
    <col min="10" max="10" width="17.44140625" style="44" customWidth="1"/>
    <col min="11" max="11" width="9.21875" style="44" customWidth="1"/>
    <col min="12" max="12" width="14.6640625" style="44" customWidth="1"/>
    <col min="13" max="13" width="9.21875" style="44" customWidth="1"/>
    <col min="14" max="14" width="16.5546875" style="43" customWidth="1"/>
    <col min="15" max="15" width="8.33203125" style="44" customWidth="1"/>
    <col min="16" max="16" width="15.21875" style="43" bestFit="1" customWidth="1"/>
    <col min="17" max="17" width="19.109375" style="43" customWidth="1"/>
    <col min="18" max="18" width="17.88671875" style="43" customWidth="1"/>
    <col min="19" max="19" width="17.33203125" style="43" customWidth="1"/>
    <col min="20" max="20" width="19.109375" style="43" customWidth="1"/>
    <col min="21" max="21" width="15.6640625" style="43" customWidth="1"/>
    <col min="22" max="22" width="16.6640625" style="43" customWidth="1"/>
    <col min="23" max="23" width="22.33203125" style="43" customWidth="1"/>
    <col min="24" max="24" width="15.44140625" style="43" customWidth="1"/>
    <col min="25" max="25" width="14" style="43" customWidth="1"/>
    <col min="26" max="26" width="17" style="43" customWidth="1"/>
    <col min="27" max="27" width="8.88671875" style="43"/>
    <col min="28" max="28" width="20.6640625" style="43" customWidth="1"/>
    <col min="29" max="29" width="8.88671875" style="43"/>
    <col min="30" max="30" width="19" style="43" customWidth="1"/>
    <col min="31" max="255" width="8.88671875" style="43"/>
    <col min="256" max="256" width="8.5546875" style="43" customWidth="1"/>
    <col min="257" max="257" width="9.5546875" style="43" customWidth="1"/>
    <col min="258" max="258" width="52.6640625" style="43" customWidth="1"/>
    <col min="259" max="259" width="25.5546875" style="43" customWidth="1"/>
    <col min="260" max="260" width="14.6640625" style="43" customWidth="1"/>
    <col min="261" max="261" width="17.44140625" style="43" customWidth="1"/>
    <col min="262" max="262" width="15.6640625" style="43" bestFit="1" customWidth="1"/>
    <col min="263" max="263" width="8.88671875" style="43" customWidth="1"/>
    <col min="264" max="264" width="16" style="43" customWidth="1"/>
    <col min="265" max="265" width="10.33203125" style="43" customWidth="1"/>
    <col min="266" max="266" width="24.109375" style="43" customWidth="1"/>
    <col min="267" max="511" width="8.88671875" style="43"/>
    <col min="512" max="512" width="8.5546875" style="43" customWidth="1"/>
    <col min="513" max="513" width="9.5546875" style="43" customWidth="1"/>
    <col min="514" max="514" width="52.6640625" style="43" customWidth="1"/>
    <col min="515" max="515" width="25.5546875" style="43" customWidth="1"/>
    <col min="516" max="516" width="14.6640625" style="43" customWidth="1"/>
    <col min="517" max="517" width="17.44140625" style="43" customWidth="1"/>
    <col min="518" max="518" width="15.6640625" style="43" bestFit="1" customWidth="1"/>
    <col min="519" max="519" width="8.88671875" style="43" customWidth="1"/>
    <col min="520" max="520" width="16" style="43" customWidth="1"/>
    <col min="521" max="521" width="10.33203125" style="43" customWidth="1"/>
    <col min="522" max="522" width="24.109375" style="43" customWidth="1"/>
    <col min="523" max="767" width="8.88671875" style="43"/>
    <col min="768" max="768" width="8.5546875" style="43" customWidth="1"/>
    <col min="769" max="769" width="9.5546875" style="43" customWidth="1"/>
    <col min="770" max="770" width="52.6640625" style="43" customWidth="1"/>
    <col min="771" max="771" width="25.5546875" style="43" customWidth="1"/>
    <col min="772" max="772" width="14.6640625" style="43" customWidth="1"/>
    <col min="773" max="773" width="17.44140625" style="43" customWidth="1"/>
    <col min="774" max="774" width="15.6640625" style="43" bestFit="1" customWidth="1"/>
    <col min="775" max="775" width="8.88671875" style="43" customWidth="1"/>
    <col min="776" max="776" width="16" style="43" customWidth="1"/>
    <col min="777" max="777" width="10.33203125" style="43" customWidth="1"/>
    <col min="778" max="778" width="24.109375" style="43" customWidth="1"/>
    <col min="779" max="1023" width="8.88671875" style="43"/>
    <col min="1024" max="1024" width="8.5546875" style="43" customWidth="1"/>
    <col min="1025" max="1025" width="9.5546875" style="43" customWidth="1"/>
    <col min="1026" max="1026" width="52.6640625" style="43" customWidth="1"/>
    <col min="1027" max="1027" width="25.5546875" style="43" customWidth="1"/>
    <col min="1028" max="1028" width="14.6640625" style="43" customWidth="1"/>
    <col min="1029" max="1029" width="17.44140625" style="43" customWidth="1"/>
    <col min="1030" max="1030" width="15.6640625" style="43" bestFit="1" customWidth="1"/>
    <col min="1031" max="1031" width="8.88671875" style="43" customWidth="1"/>
    <col min="1032" max="1032" width="16" style="43" customWidth="1"/>
    <col min="1033" max="1033" width="10.33203125" style="43" customWidth="1"/>
    <col min="1034" max="1034" width="24.109375" style="43" customWidth="1"/>
    <col min="1035" max="1279" width="8.88671875" style="43"/>
    <col min="1280" max="1280" width="8.5546875" style="43" customWidth="1"/>
    <col min="1281" max="1281" width="9.5546875" style="43" customWidth="1"/>
    <col min="1282" max="1282" width="52.6640625" style="43" customWidth="1"/>
    <col min="1283" max="1283" width="25.5546875" style="43" customWidth="1"/>
    <col min="1284" max="1284" width="14.6640625" style="43" customWidth="1"/>
    <col min="1285" max="1285" width="17.44140625" style="43" customWidth="1"/>
    <col min="1286" max="1286" width="15.6640625" style="43" bestFit="1" customWidth="1"/>
    <col min="1287" max="1287" width="8.88671875" style="43" customWidth="1"/>
    <col min="1288" max="1288" width="16" style="43" customWidth="1"/>
    <col min="1289" max="1289" width="10.33203125" style="43" customWidth="1"/>
    <col min="1290" max="1290" width="24.109375" style="43" customWidth="1"/>
    <col min="1291" max="1535" width="8.88671875" style="43"/>
    <col min="1536" max="1536" width="8.5546875" style="43" customWidth="1"/>
    <col min="1537" max="1537" width="9.5546875" style="43" customWidth="1"/>
    <col min="1538" max="1538" width="52.6640625" style="43" customWidth="1"/>
    <col min="1539" max="1539" width="25.5546875" style="43" customWidth="1"/>
    <col min="1540" max="1540" width="14.6640625" style="43" customWidth="1"/>
    <col min="1541" max="1541" width="17.44140625" style="43" customWidth="1"/>
    <col min="1542" max="1542" width="15.6640625" style="43" bestFit="1" customWidth="1"/>
    <col min="1543" max="1543" width="8.88671875" style="43" customWidth="1"/>
    <col min="1544" max="1544" width="16" style="43" customWidth="1"/>
    <col min="1545" max="1545" width="10.33203125" style="43" customWidth="1"/>
    <col min="1546" max="1546" width="24.109375" style="43" customWidth="1"/>
    <col min="1547" max="1791" width="8.88671875" style="43"/>
    <col min="1792" max="1792" width="8.5546875" style="43" customWidth="1"/>
    <col min="1793" max="1793" width="9.5546875" style="43" customWidth="1"/>
    <col min="1794" max="1794" width="52.6640625" style="43" customWidth="1"/>
    <col min="1795" max="1795" width="25.5546875" style="43" customWidth="1"/>
    <col min="1796" max="1796" width="14.6640625" style="43" customWidth="1"/>
    <col min="1797" max="1797" width="17.44140625" style="43" customWidth="1"/>
    <col min="1798" max="1798" width="15.6640625" style="43" bestFit="1" customWidth="1"/>
    <col min="1799" max="1799" width="8.88671875" style="43" customWidth="1"/>
    <col min="1800" max="1800" width="16" style="43" customWidth="1"/>
    <col min="1801" max="1801" width="10.33203125" style="43" customWidth="1"/>
    <col min="1802" max="1802" width="24.109375" style="43" customWidth="1"/>
    <col min="1803" max="2047" width="8.88671875" style="43"/>
    <col min="2048" max="2048" width="8.5546875" style="43" customWidth="1"/>
    <col min="2049" max="2049" width="9.5546875" style="43" customWidth="1"/>
    <col min="2050" max="2050" width="52.6640625" style="43" customWidth="1"/>
    <col min="2051" max="2051" width="25.5546875" style="43" customWidth="1"/>
    <col min="2052" max="2052" width="14.6640625" style="43" customWidth="1"/>
    <col min="2053" max="2053" width="17.44140625" style="43" customWidth="1"/>
    <col min="2054" max="2054" width="15.6640625" style="43" bestFit="1" customWidth="1"/>
    <col min="2055" max="2055" width="8.88671875" style="43" customWidth="1"/>
    <col min="2056" max="2056" width="16" style="43" customWidth="1"/>
    <col min="2057" max="2057" width="10.33203125" style="43" customWidth="1"/>
    <col min="2058" max="2058" width="24.109375" style="43" customWidth="1"/>
    <col min="2059" max="2303" width="8.88671875" style="43"/>
    <col min="2304" max="2304" width="8.5546875" style="43" customWidth="1"/>
    <col min="2305" max="2305" width="9.5546875" style="43" customWidth="1"/>
    <col min="2306" max="2306" width="52.6640625" style="43" customWidth="1"/>
    <col min="2307" max="2307" width="25.5546875" style="43" customWidth="1"/>
    <col min="2308" max="2308" width="14.6640625" style="43" customWidth="1"/>
    <col min="2309" max="2309" width="17.44140625" style="43" customWidth="1"/>
    <col min="2310" max="2310" width="15.6640625" style="43" bestFit="1" customWidth="1"/>
    <col min="2311" max="2311" width="8.88671875" style="43" customWidth="1"/>
    <col min="2312" max="2312" width="16" style="43" customWidth="1"/>
    <col min="2313" max="2313" width="10.33203125" style="43" customWidth="1"/>
    <col min="2314" max="2314" width="24.109375" style="43" customWidth="1"/>
    <col min="2315" max="2559" width="8.88671875" style="43"/>
    <col min="2560" max="2560" width="8.5546875" style="43" customWidth="1"/>
    <col min="2561" max="2561" width="9.5546875" style="43" customWidth="1"/>
    <col min="2562" max="2562" width="52.6640625" style="43" customWidth="1"/>
    <col min="2563" max="2563" width="25.5546875" style="43" customWidth="1"/>
    <col min="2564" max="2564" width="14.6640625" style="43" customWidth="1"/>
    <col min="2565" max="2565" width="17.44140625" style="43" customWidth="1"/>
    <col min="2566" max="2566" width="15.6640625" style="43" bestFit="1" customWidth="1"/>
    <col min="2567" max="2567" width="8.88671875" style="43" customWidth="1"/>
    <col min="2568" max="2568" width="16" style="43" customWidth="1"/>
    <col min="2569" max="2569" width="10.33203125" style="43" customWidth="1"/>
    <col min="2570" max="2570" width="24.109375" style="43" customWidth="1"/>
    <col min="2571" max="2815" width="8.88671875" style="43"/>
    <col min="2816" max="2816" width="8.5546875" style="43" customWidth="1"/>
    <col min="2817" max="2817" width="9.5546875" style="43" customWidth="1"/>
    <col min="2818" max="2818" width="52.6640625" style="43" customWidth="1"/>
    <col min="2819" max="2819" width="25.5546875" style="43" customWidth="1"/>
    <col min="2820" max="2820" width="14.6640625" style="43" customWidth="1"/>
    <col min="2821" max="2821" width="17.44140625" style="43" customWidth="1"/>
    <col min="2822" max="2822" width="15.6640625" style="43" bestFit="1" customWidth="1"/>
    <col min="2823" max="2823" width="8.88671875" style="43" customWidth="1"/>
    <col min="2824" max="2824" width="16" style="43" customWidth="1"/>
    <col min="2825" max="2825" width="10.33203125" style="43" customWidth="1"/>
    <col min="2826" max="2826" width="24.109375" style="43" customWidth="1"/>
    <col min="2827" max="3071" width="8.88671875" style="43"/>
    <col min="3072" max="3072" width="8.5546875" style="43" customWidth="1"/>
    <col min="3073" max="3073" width="9.5546875" style="43" customWidth="1"/>
    <col min="3074" max="3074" width="52.6640625" style="43" customWidth="1"/>
    <col min="3075" max="3075" width="25.5546875" style="43" customWidth="1"/>
    <col min="3076" max="3076" width="14.6640625" style="43" customWidth="1"/>
    <col min="3077" max="3077" width="17.44140625" style="43" customWidth="1"/>
    <col min="3078" max="3078" width="15.6640625" style="43" bestFit="1" customWidth="1"/>
    <col min="3079" max="3079" width="8.88671875" style="43" customWidth="1"/>
    <col min="3080" max="3080" width="16" style="43" customWidth="1"/>
    <col min="3081" max="3081" width="10.33203125" style="43" customWidth="1"/>
    <col min="3082" max="3082" width="24.109375" style="43" customWidth="1"/>
    <col min="3083" max="3327" width="8.88671875" style="43"/>
    <col min="3328" max="3328" width="8.5546875" style="43" customWidth="1"/>
    <col min="3329" max="3329" width="9.5546875" style="43" customWidth="1"/>
    <col min="3330" max="3330" width="52.6640625" style="43" customWidth="1"/>
    <col min="3331" max="3331" width="25.5546875" style="43" customWidth="1"/>
    <col min="3332" max="3332" width="14.6640625" style="43" customWidth="1"/>
    <col min="3333" max="3333" width="17.44140625" style="43" customWidth="1"/>
    <col min="3334" max="3334" width="15.6640625" style="43" bestFit="1" customWidth="1"/>
    <col min="3335" max="3335" width="8.88671875" style="43" customWidth="1"/>
    <col min="3336" max="3336" width="16" style="43" customWidth="1"/>
    <col min="3337" max="3337" width="10.33203125" style="43" customWidth="1"/>
    <col min="3338" max="3338" width="24.109375" style="43" customWidth="1"/>
    <col min="3339" max="3583" width="8.88671875" style="43"/>
    <col min="3584" max="3584" width="8.5546875" style="43" customWidth="1"/>
    <col min="3585" max="3585" width="9.5546875" style="43" customWidth="1"/>
    <col min="3586" max="3586" width="52.6640625" style="43" customWidth="1"/>
    <col min="3587" max="3587" width="25.5546875" style="43" customWidth="1"/>
    <col min="3588" max="3588" width="14.6640625" style="43" customWidth="1"/>
    <col min="3589" max="3589" width="17.44140625" style="43" customWidth="1"/>
    <col min="3590" max="3590" width="15.6640625" style="43" bestFit="1" customWidth="1"/>
    <col min="3591" max="3591" width="8.88671875" style="43" customWidth="1"/>
    <col min="3592" max="3592" width="16" style="43" customWidth="1"/>
    <col min="3593" max="3593" width="10.33203125" style="43" customWidth="1"/>
    <col min="3594" max="3594" width="24.109375" style="43" customWidth="1"/>
    <col min="3595" max="3839" width="8.88671875" style="43"/>
    <col min="3840" max="3840" width="8.5546875" style="43" customWidth="1"/>
    <col min="3841" max="3841" width="9.5546875" style="43" customWidth="1"/>
    <col min="3842" max="3842" width="52.6640625" style="43" customWidth="1"/>
    <col min="3843" max="3843" width="25.5546875" style="43" customWidth="1"/>
    <col min="3844" max="3844" width="14.6640625" style="43" customWidth="1"/>
    <col min="3845" max="3845" width="17.44140625" style="43" customWidth="1"/>
    <col min="3846" max="3846" width="15.6640625" style="43" bestFit="1" customWidth="1"/>
    <col min="3847" max="3847" width="8.88671875" style="43" customWidth="1"/>
    <col min="3848" max="3848" width="16" style="43" customWidth="1"/>
    <col min="3849" max="3849" width="10.33203125" style="43" customWidth="1"/>
    <col min="3850" max="3850" width="24.109375" style="43" customWidth="1"/>
    <col min="3851" max="4095" width="8.88671875" style="43"/>
    <col min="4096" max="4096" width="8.5546875" style="43" customWidth="1"/>
    <col min="4097" max="4097" width="9.5546875" style="43" customWidth="1"/>
    <col min="4098" max="4098" width="52.6640625" style="43" customWidth="1"/>
    <col min="4099" max="4099" width="25.5546875" style="43" customWidth="1"/>
    <col min="4100" max="4100" width="14.6640625" style="43" customWidth="1"/>
    <col min="4101" max="4101" width="17.44140625" style="43" customWidth="1"/>
    <col min="4102" max="4102" width="15.6640625" style="43" bestFit="1" customWidth="1"/>
    <col min="4103" max="4103" width="8.88671875" style="43" customWidth="1"/>
    <col min="4104" max="4104" width="16" style="43" customWidth="1"/>
    <col min="4105" max="4105" width="10.33203125" style="43" customWidth="1"/>
    <col min="4106" max="4106" width="24.109375" style="43" customWidth="1"/>
    <col min="4107" max="4351" width="8.88671875" style="43"/>
    <col min="4352" max="4352" width="8.5546875" style="43" customWidth="1"/>
    <col min="4353" max="4353" width="9.5546875" style="43" customWidth="1"/>
    <col min="4354" max="4354" width="52.6640625" style="43" customWidth="1"/>
    <col min="4355" max="4355" width="25.5546875" style="43" customWidth="1"/>
    <col min="4356" max="4356" width="14.6640625" style="43" customWidth="1"/>
    <col min="4357" max="4357" width="17.44140625" style="43" customWidth="1"/>
    <col min="4358" max="4358" width="15.6640625" style="43" bestFit="1" customWidth="1"/>
    <col min="4359" max="4359" width="8.88671875" style="43" customWidth="1"/>
    <col min="4360" max="4360" width="16" style="43" customWidth="1"/>
    <col min="4361" max="4361" width="10.33203125" style="43" customWidth="1"/>
    <col min="4362" max="4362" width="24.109375" style="43" customWidth="1"/>
    <col min="4363" max="4607" width="8.88671875" style="43"/>
    <col min="4608" max="4608" width="8.5546875" style="43" customWidth="1"/>
    <col min="4609" max="4609" width="9.5546875" style="43" customWidth="1"/>
    <col min="4610" max="4610" width="52.6640625" style="43" customWidth="1"/>
    <col min="4611" max="4611" width="25.5546875" style="43" customWidth="1"/>
    <col min="4612" max="4612" width="14.6640625" style="43" customWidth="1"/>
    <col min="4613" max="4613" width="17.44140625" style="43" customWidth="1"/>
    <col min="4614" max="4614" width="15.6640625" style="43" bestFit="1" customWidth="1"/>
    <col min="4615" max="4615" width="8.88671875" style="43" customWidth="1"/>
    <col min="4616" max="4616" width="16" style="43" customWidth="1"/>
    <col min="4617" max="4617" width="10.33203125" style="43" customWidth="1"/>
    <col min="4618" max="4618" width="24.109375" style="43" customWidth="1"/>
    <col min="4619" max="4863" width="8.88671875" style="43"/>
    <col min="4864" max="4864" width="8.5546875" style="43" customWidth="1"/>
    <col min="4865" max="4865" width="9.5546875" style="43" customWidth="1"/>
    <col min="4866" max="4866" width="52.6640625" style="43" customWidth="1"/>
    <col min="4867" max="4867" width="25.5546875" style="43" customWidth="1"/>
    <col min="4868" max="4868" width="14.6640625" style="43" customWidth="1"/>
    <col min="4869" max="4869" width="17.44140625" style="43" customWidth="1"/>
    <col min="4870" max="4870" width="15.6640625" style="43" bestFit="1" customWidth="1"/>
    <col min="4871" max="4871" width="8.88671875" style="43" customWidth="1"/>
    <col min="4872" max="4872" width="16" style="43" customWidth="1"/>
    <col min="4873" max="4873" width="10.33203125" style="43" customWidth="1"/>
    <col min="4874" max="4874" width="24.109375" style="43" customWidth="1"/>
    <col min="4875" max="5119" width="8.88671875" style="43"/>
    <col min="5120" max="5120" width="8.5546875" style="43" customWidth="1"/>
    <col min="5121" max="5121" width="9.5546875" style="43" customWidth="1"/>
    <col min="5122" max="5122" width="52.6640625" style="43" customWidth="1"/>
    <col min="5123" max="5123" width="25.5546875" style="43" customWidth="1"/>
    <col min="5124" max="5124" width="14.6640625" style="43" customWidth="1"/>
    <col min="5125" max="5125" width="17.44140625" style="43" customWidth="1"/>
    <col min="5126" max="5126" width="15.6640625" style="43" bestFit="1" customWidth="1"/>
    <col min="5127" max="5127" width="8.88671875" style="43" customWidth="1"/>
    <col min="5128" max="5128" width="16" style="43" customWidth="1"/>
    <col min="5129" max="5129" width="10.33203125" style="43" customWidth="1"/>
    <col min="5130" max="5130" width="24.109375" style="43" customWidth="1"/>
    <col min="5131" max="5375" width="8.88671875" style="43"/>
    <col min="5376" max="5376" width="8.5546875" style="43" customWidth="1"/>
    <col min="5377" max="5377" width="9.5546875" style="43" customWidth="1"/>
    <col min="5378" max="5378" width="52.6640625" style="43" customWidth="1"/>
    <col min="5379" max="5379" width="25.5546875" style="43" customWidth="1"/>
    <col min="5380" max="5380" width="14.6640625" style="43" customWidth="1"/>
    <col min="5381" max="5381" width="17.44140625" style="43" customWidth="1"/>
    <col min="5382" max="5382" width="15.6640625" style="43" bestFit="1" customWidth="1"/>
    <col min="5383" max="5383" width="8.88671875" style="43" customWidth="1"/>
    <col min="5384" max="5384" width="16" style="43" customWidth="1"/>
    <col min="5385" max="5385" width="10.33203125" style="43" customWidth="1"/>
    <col min="5386" max="5386" width="24.109375" style="43" customWidth="1"/>
    <col min="5387" max="5631" width="8.88671875" style="43"/>
    <col min="5632" max="5632" width="8.5546875" style="43" customWidth="1"/>
    <col min="5633" max="5633" width="9.5546875" style="43" customWidth="1"/>
    <col min="5634" max="5634" width="52.6640625" style="43" customWidth="1"/>
    <col min="5635" max="5635" width="25.5546875" style="43" customWidth="1"/>
    <col min="5636" max="5636" width="14.6640625" style="43" customWidth="1"/>
    <col min="5637" max="5637" width="17.44140625" style="43" customWidth="1"/>
    <col min="5638" max="5638" width="15.6640625" style="43" bestFit="1" customWidth="1"/>
    <col min="5639" max="5639" width="8.88671875" style="43" customWidth="1"/>
    <col min="5640" max="5640" width="16" style="43" customWidth="1"/>
    <col min="5641" max="5641" width="10.33203125" style="43" customWidth="1"/>
    <col min="5642" max="5642" width="24.109375" style="43" customWidth="1"/>
    <col min="5643" max="5887" width="8.88671875" style="43"/>
    <col min="5888" max="5888" width="8.5546875" style="43" customWidth="1"/>
    <col min="5889" max="5889" width="9.5546875" style="43" customWidth="1"/>
    <col min="5890" max="5890" width="52.6640625" style="43" customWidth="1"/>
    <col min="5891" max="5891" width="25.5546875" style="43" customWidth="1"/>
    <col min="5892" max="5892" width="14.6640625" style="43" customWidth="1"/>
    <col min="5893" max="5893" width="17.44140625" style="43" customWidth="1"/>
    <col min="5894" max="5894" width="15.6640625" style="43" bestFit="1" customWidth="1"/>
    <col min="5895" max="5895" width="8.88671875" style="43" customWidth="1"/>
    <col min="5896" max="5896" width="16" style="43" customWidth="1"/>
    <col min="5897" max="5897" width="10.33203125" style="43" customWidth="1"/>
    <col min="5898" max="5898" width="24.109375" style="43" customWidth="1"/>
    <col min="5899" max="6143" width="8.88671875" style="43"/>
    <col min="6144" max="6144" width="8.5546875" style="43" customWidth="1"/>
    <col min="6145" max="6145" width="9.5546875" style="43" customWidth="1"/>
    <col min="6146" max="6146" width="52.6640625" style="43" customWidth="1"/>
    <col min="6147" max="6147" width="25.5546875" style="43" customWidth="1"/>
    <col min="6148" max="6148" width="14.6640625" style="43" customWidth="1"/>
    <col min="6149" max="6149" width="17.44140625" style="43" customWidth="1"/>
    <col min="6150" max="6150" width="15.6640625" style="43" bestFit="1" customWidth="1"/>
    <col min="6151" max="6151" width="8.88671875" style="43" customWidth="1"/>
    <col min="6152" max="6152" width="16" style="43" customWidth="1"/>
    <col min="6153" max="6153" width="10.33203125" style="43" customWidth="1"/>
    <col min="6154" max="6154" width="24.109375" style="43" customWidth="1"/>
    <col min="6155" max="6399" width="8.88671875" style="43"/>
    <col min="6400" max="6400" width="8.5546875" style="43" customWidth="1"/>
    <col min="6401" max="6401" width="9.5546875" style="43" customWidth="1"/>
    <col min="6402" max="6402" width="52.6640625" style="43" customWidth="1"/>
    <col min="6403" max="6403" width="25.5546875" style="43" customWidth="1"/>
    <col min="6404" max="6404" width="14.6640625" style="43" customWidth="1"/>
    <col min="6405" max="6405" width="17.44140625" style="43" customWidth="1"/>
    <col min="6406" max="6406" width="15.6640625" style="43" bestFit="1" customWidth="1"/>
    <col min="6407" max="6407" width="8.88671875" style="43" customWidth="1"/>
    <col min="6408" max="6408" width="16" style="43" customWidth="1"/>
    <col min="6409" max="6409" width="10.33203125" style="43" customWidth="1"/>
    <col min="6410" max="6410" width="24.109375" style="43" customWidth="1"/>
    <col min="6411" max="6655" width="8.88671875" style="43"/>
    <col min="6656" max="6656" width="8.5546875" style="43" customWidth="1"/>
    <col min="6657" max="6657" width="9.5546875" style="43" customWidth="1"/>
    <col min="6658" max="6658" width="52.6640625" style="43" customWidth="1"/>
    <col min="6659" max="6659" width="25.5546875" style="43" customWidth="1"/>
    <col min="6660" max="6660" width="14.6640625" style="43" customWidth="1"/>
    <col min="6661" max="6661" width="17.44140625" style="43" customWidth="1"/>
    <col min="6662" max="6662" width="15.6640625" style="43" bestFit="1" customWidth="1"/>
    <col min="6663" max="6663" width="8.88671875" style="43" customWidth="1"/>
    <col min="6664" max="6664" width="16" style="43" customWidth="1"/>
    <col min="6665" max="6665" width="10.33203125" style="43" customWidth="1"/>
    <col min="6666" max="6666" width="24.109375" style="43" customWidth="1"/>
    <col min="6667" max="6911" width="8.88671875" style="43"/>
    <col min="6912" max="6912" width="8.5546875" style="43" customWidth="1"/>
    <col min="6913" max="6913" width="9.5546875" style="43" customWidth="1"/>
    <col min="6914" max="6914" width="52.6640625" style="43" customWidth="1"/>
    <col min="6915" max="6915" width="25.5546875" style="43" customWidth="1"/>
    <col min="6916" max="6916" width="14.6640625" style="43" customWidth="1"/>
    <col min="6917" max="6917" width="17.44140625" style="43" customWidth="1"/>
    <col min="6918" max="6918" width="15.6640625" style="43" bestFit="1" customWidth="1"/>
    <col min="6919" max="6919" width="8.88671875" style="43" customWidth="1"/>
    <col min="6920" max="6920" width="16" style="43" customWidth="1"/>
    <col min="6921" max="6921" width="10.33203125" style="43" customWidth="1"/>
    <col min="6922" max="6922" width="24.109375" style="43" customWidth="1"/>
    <col min="6923" max="7167" width="8.88671875" style="43"/>
    <col min="7168" max="7168" width="8.5546875" style="43" customWidth="1"/>
    <col min="7169" max="7169" width="9.5546875" style="43" customWidth="1"/>
    <col min="7170" max="7170" width="52.6640625" style="43" customWidth="1"/>
    <col min="7171" max="7171" width="25.5546875" style="43" customWidth="1"/>
    <col min="7172" max="7172" width="14.6640625" style="43" customWidth="1"/>
    <col min="7173" max="7173" width="17.44140625" style="43" customWidth="1"/>
    <col min="7174" max="7174" width="15.6640625" style="43" bestFit="1" customWidth="1"/>
    <col min="7175" max="7175" width="8.88671875" style="43" customWidth="1"/>
    <col min="7176" max="7176" width="16" style="43" customWidth="1"/>
    <col min="7177" max="7177" width="10.33203125" style="43" customWidth="1"/>
    <col min="7178" max="7178" width="24.109375" style="43" customWidth="1"/>
    <col min="7179" max="7423" width="8.88671875" style="43"/>
    <col min="7424" max="7424" width="8.5546875" style="43" customWidth="1"/>
    <col min="7425" max="7425" width="9.5546875" style="43" customWidth="1"/>
    <col min="7426" max="7426" width="52.6640625" style="43" customWidth="1"/>
    <col min="7427" max="7427" width="25.5546875" style="43" customWidth="1"/>
    <col min="7428" max="7428" width="14.6640625" style="43" customWidth="1"/>
    <col min="7429" max="7429" width="17.44140625" style="43" customWidth="1"/>
    <col min="7430" max="7430" width="15.6640625" style="43" bestFit="1" customWidth="1"/>
    <col min="7431" max="7431" width="8.88671875" style="43" customWidth="1"/>
    <col min="7432" max="7432" width="16" style="43" customWidth="1"/>
    <col min="7433" max="7433" width="10.33203125" style="43" customWidth="1"/>
    <col min="7434" max="7434" width="24.109375" style="43" customWidth="1"/>
    <col min="7435" max="7679" width="8.88671875" style="43"/>
    <col min="7680" max="7680" width="8.5546875" style="43" customWidth="1"/>
    <col min="7681" max="7681" width="9.5546875" style="43" customWidth="1"/>
    <col min="7682" max="7682" width="52.6640625" style="43" customWidth="1"/>
    <col min="7683" max="7683" width="25.5546875" style="43" customWidth="1"/>
    <col min="7684" max="7684" width="14.6640625" style="43" customWidth="1"/>
    <col min="7685" max="7685" width="17.44140625" style="43" customWidth="1"/>
    <col min="7686" max="7686" width="15.6640625" style="43" bestFit="1" customWidth="1"/>
    <col min="7687" max="7687" width="8.88671875" style="43" customWidth="1"/>
    <col min="7688" max="7688" width="16" style="43" customWidth="1"/>
    <col min="7689" max="7689" width="10.33203125" style="43" customWidth="1"/>
    <col min="7690" max="7690" width="24.109375" style="43" customWidth="1"/>
    <col min="7691" max="7935" width="8.88671875" style="43"/>
    <col min="7936" max="7936" width="8.5546875" style="43" customWidth="1"/>
    <col min="7937" max="7937" width="9.5546875" style="43" customWidth="1"/>
    <col min="7938" max="7938" width="52.6640625" style="43" customWidth="1"/>
    <col min="7939" max="7939" width="25.5546875" style="43" customWidth="1"/>
    <col min="7940" max="7940" width="14.6640625" style="43" customWidth="1"/>
    <col min="7941" max="7941" width="17.44140625" style="43" customWidth="1"/>
    <col min="7942" max="7942" width="15.6640625" style="43" bestFit="1" customWidth="1"/>
    <col min="7943" max="7943" width="8.88671875" style="43" customWidth="1"/>
    <col min="7944" max="7944" width="16" style="43" customWidth="1"/>
    <col min="7945" max="7945" width="10.33203125" style="43" customWidth="1"/>
    <col min="7946" max="7946" width="24.109375" style="43" customWidth="1"/>
    <col min="7947" max="8191" width="8.88671875" style="43"/>
    <col min="8192" max="8192" width="8.5546875" style="43" customWidth="1"/>
    <col min="8193" max="8193" width="9.5546875" style="43" customWidth="1"/>
    <col min="8194" max="8194" width="52.6640625" style="43" customWidth="1"/>
    <col min="8195" max="8195" width="25.5546875" style="43" customWidth="1"/>
    <col min="8196" max="8196" width="14.6640625" style="43" customWidth="1"/>
    <col min="8197" max="8197" width="17.44140625" style="43" customWidth="1"/>
    <col min="8198" max="8198" width="15.6640625" style="43" bestFit="1" customWidth="1"/>
    <col min="8199" max="8199" width="8.88671875" style="43" customWidth="1"/>
    <col min="8200" max="8200" width="16" style="43" customWidth="1"/>
    <col min="8201" max="8201" width="10.33203125" style="43" customWidth="1"/>
    <col min="8202" max="8202" width="24.109375" style="43" customWidth="1"/>
    <col min="8203" max="8447" width="8.88671875" style="43"/>
    <col min="8448" max="8448" width="8.5546875" style="43" customWidth="1"/>
    <col min="8449" max="8449" width="9.5546875" style="43" customWidth="1"/>
    <col min="8450" max="8450" width="52.6640625" style="43" customWidth="1"/>
    <col min="8451" max="8451" width="25.5546875" style="43" customWidth="1"/>
    <col min="8452" max="8452" width="14.6640625" style="43" customWidth="1"/>
    <col min="8453" max="8453" width="17.44140625" style="43" customWidth="1"/>
    <col min="8454" max="8454" width="15.6640625" style="43" bestFit="1" customWidth="1"/>
    <col min="8455" max="8455" width="8.88671875" style="43" customWidth="1"/>
    <col min="8456" max="8456" width="16" style="43" customWidth="1"/>
    <col min="8457" max="8457" width="10.33203125" style="43" customWidth="1"/>
    <col min="8458" max="8458" width="24.109375" style="43" customWidth="1"/>
    <col min="8459" max="8703" width="8.88671875" style="43"/>
    <col min="8704" max="8704" width="8.5546875" style="43" customWidth="1"/>
    <col min="8705" max="8705" width="9.5546875" style="43" customWidth="1"/>
    <col min="8706" max="8706" width="52.6640625" style="43" customWidth="1"/>
    <col min="8707" max="8707" width="25.5546875" style="43" customWidth="1"/>
    <col min="8708" max="8708" width="14.6640625" style="43" customWidth="1"/>
    <col min="8709" max="8709" width="17.44140625" style="43" customWidth="1"/>
    <col min="8710" max="8710" width="15.6640625" style="43" bestFit="1" customWidth="1"/>
    <col min="8711" max="8711" width="8.88671875" style="43" customWidth="1"/>
    <col min="8712" max="8712" width="16" style="43" customWidth="1"/>
    <col min="8713" max="8713" width="10.33203125" style="43" customWidth="1"/>
    <col min="8714" max="8714" width="24.109375" style="43" customWidth="1"/>
    <col min="8715" max="8959" width="8.88671875" style="43"/>
    <col min="8960" max="8960" width="8.5546875" style="43" customWidth="1"/>
    <col min="8961" max="8961" width="9.5546875" style="43" customWidth="1"/>
    <col min="8962" max="8962" width="52.6640625" style="43" customWidth="1"/>
    <col min="8963" max="8963" width="25.5546875" style="43" customWidth="1"/>
    <col min="8964" max="8964" width="14.6640625" style="43" customWidth="1"/>
    <col min="8965" max="8965" width="17.44140625" style="43" customWidth="1"/>
    <col min="8966" max="8966" width="15.6640625" style="43" bestFit="1" customWidth="1"/>
    <col min="8967" max="8967" width="8.88671875" style="43" customWidth="1"/>
    <col min="8968" max="8968" width="16" style="43" customWidth="1"/>
    <col min="8969" max="8969" width="10.33203125" style="43" customWidth="1"/>
    <col min="8970" max="8970" width="24.109375" style="43" customWidth="1"/>
    <col min="8971" max="9215" width="8.88671875" style="43"/>
    <col min="9216" max="9216" width="8.5546875" style="43" customWidth="1"/>
    <col min="9217" max="9217" width="9.5546875" style="43" customWidth="1"/>
    <col min="9218" max="9218" width="52.6640625" style="43" customWidth="1"/>
    <col min="9219" max="9219" width="25.5546875" style="43" customWidth="1"/>
    <col min="9220" max="9220" width="14.6640625" style="43" customWidth="1"/>
    <col min="9221" max="9221" width="17.44140625" style="43" customWidth="1"/>
    <col min="9222" max="9222" width="15.6640625" style="43" bestFit="1" customWidth="1"/>
    <col min="9223" max="9223" width="8.88671875" style="43" customWidth="1"/>
    <col min="9224" max="9224" width="16" style="43" customWidth="1"/>
    <col min="9225" max="9225" width="10.33203125" style="43" customWidth="1"/>
    <col min="9226" max="9226" width="24.109375" style="43" customWidth="1"/>
    <col min="9227" max="9471" width="8.88671875" style="43"/>
    <col min="9472" max="9472" width="8.5546875" style="43" customWidth="1"/>
    <col min="9473" max="9473" width="9.5546875" style="43" customWidth="1"/>
    <col min="9474" max="9474" width="52.6640625" style="43" customWidth="1"/>
    <col min="9475" max="9475" width="25.5546875" style="43" customWidth="1"/>
    <col min="9476" max="9476" width="14.6640625" style="43" customWidth="1"/>
    <col min="9477" max="9477" width="17.44140625" style="43" customWidth="1"/>
    <col min="9478" max="9478" width="15.6640625" style="43" bestFit="1" customWidth="1"/>
    <col min="9479" max="9479" width="8.88671875" style="43" customWidth="1"/>
    <col min="9480" max="9480" width="16" style="43" customWidth="1"/>
    <col min="9481" max="9481" width="10.33203125" style="43" customWidth="1"/>
    <col min="9482" max="9482" width="24.109375" style="43" customWidth="1"/>
    <col min="9483" max="9727" width="8.88671875" style="43"/>
    <col min="9728" max="9728" width="8.5546875" style="43" customWidth="1"/>
    <col min="9729" max="9729" width="9.5546875" style="43" customWidth="1"/>
    <col min="9730" max="9730" width="52.6640625" style="43" customWidth="1"/>
    <col min="9731" max="9731" width="25.5546875" style="43" customWidth="1"/>
    <col min="9732" max="9732" width="14.6640625" style="43" customWidth="1"/>
    <col min="9733" max="9733" width="17.44140625" style="43" customWidth="1"/>
    <col min="9734" max="9734" width="15.6640625" style="43" bestFit="1" customWidth="1"/>
    <col min="9735" max="9735" width="8.88671875" style="43" customWidth="1"/>
    <col min="9736" max="9736" width="16" style="43" customWidth="1"/>
    <col min="9737" max="9737" width="10.33203125" style="43" customWidth="1"/>
    <col min="9738" max="9738" width="24.109375" style="43" customWidth="1"/>
    <col min="9739" max="9983" width="8.88671875" style="43"/>
    <col min="9984" max="9984" width="8.5546875" style="43" customWidth="1"/>
    <col min="9985" max="9985" width="9.5546875" style="43" customWidth="1"/>
    <col min="9986" max="9986" width="52.6640625" style="43" customWidth="1"/>
    <col min="9987" max="9987" width="25.5546875" style="43" customWidth="1"/>
    <col min="9988" max="9988" width="14.6640625" style="43" customWidth="1"/>
    <col min="9989" max="9989" width="17.44140625" style="43" customWidth="1"/>
    <col min="9990" max="9990" width="15.6640625" style="43" bestFit="1" customWidth="1"/>
    <col min="9991" max="9991" width="8.88671875" style="43" customWidth="1"/>
    <col min="9992" max="9992" width="16" style="43" customWidth="1"/>
    <col min="9993" max="9993" width="10.33203125" style="43" customWidth="1"/>
    <col min="9994" max="9994" width="24.109375" style="43" customWidth="1"/>
    <col min="9995" max="10239" width="8.88671875" style="43"/>
    <col min="10240" max="10240" width="8.5546875" style="43" customWidth="1"/>
    <col min="10241" max="10241" width="9.5546875" style="43" customWidth="1"/>
    <col min="10242" max="10242" width="52.6640625" style="43" customWidth="1"/>
    <col min="10243" max="10243" width="25.5546875" style="43" customWidth="1"/>
    <col min="10244" max="10244" width="14.6640625" style="43" customWidth="1"/>
    <col min="10245" max="10245" width="17.44140625" style="43" customWidth="1"/>
    <col min="10246" max="10246" width="15.6640625" style="43" bestFit="1" customWidth="1"/>
    <col min="10247" max="10247" width="8.88671875" style="43" customWidth="1"/>
    <col min="10248" max="10248" width="16" style="43" customWidth="1"/>
    <col min="10249" max="10249" width="10.33203125" style="43" customWidth="1"/>
    <col min="10250" max="10250" width="24.109375" style="43" customWidth="1"/>
    <col min="10251" max="10495" width="8.88671875" style="43"/>
    <col min="10496" max="10496" width="8.5546875" style="43" customWidth="1"/>
    <col min="10497" max="10497" width="9.5546875" style="43" customWidth="1"/>
    <col min="10498" max="10498" width="52.6640625" style="43" customWidth="1"/>
    <col min="10499" max="10499" width="25.5546875" style="43" customWidth="1"/>
    <col min="10500" max="10500" width="14.6640625" style="43" customWidth="1"/>
    <col min="10501" max="10501" width="17.44140625" style="43" customWidth="1"/>
    <col min="10502" max="10502" width="15.6640625" style="43" bestFit="1" customWidth="1"/>
    <col min="10503" max="10503" width="8.88671875" style="43" customWidth="1"/>
    <col min="10504" max="10504" width="16" style="43" customWidth="1"/>
    <col min="10505" max="10505" width="10.33203125" style="43" customWidth="1"/>
    <col min="10506" max="10506" width="24.109375" style="43" customWidth="1"/>
    <col min="10507" max="10751" width="8.88671875" style="43"/>
    <col min="10752" max="10752" width="8.5546875" style="43" customWidth="1"/>
    <col min="10753" max="10753" width="9.5546875" style="43" customWidth="1"/>
    <col min="10754" max="10754" width="52.6640625" style="43" customWidth="1"/>
    <col min="10755" max="10755" width="25.5546875" style="43" customWidth="1"/>
    <col min="10756" max="10756" width="14.6640625" style="43" customWidth="1"/>
    <col min="10757" max="10757" width="17.44140625" style="43" customWidth="1"/>
    <col min="10758" max="10758" width="15.6640625" style="43" bestFit="1" customWidth="1"/>
    <col min="10759" max="10759" width="8.88671875" style="43" customWidth="1"/>
    <col min="10760" max="10760" width="16" style="43" customWidth="1"/>
    <col min="10761" max="10761" width="10.33203125" style="43" customWidth="1"/>
    <col min="10762" max="10762" width="24.109375" style="43" customWidth="1"/>
    <col min="10763" max="11007" width="8.88671875" style="43"/>
    <col min="11008" max="11008" width="8.5546875" style="43" customWidth="1"/>
    <col min="11009" max="11009" width="9.5546875" style="43" customWidth="1"/>
    <col min="11010" max="11010" width="52.6640625" style="43" customWidth="1"/>
    <col min="11011" max="11011" width="25.5546875" style="43" customWidth="1"/>
    <col min="11012" max="11012" width="14.6640625" style="43" customWidth="1"/>
    <col min="11013" max="11013" width="17.44140625" style="43" customWidth="1"/>
    <col min="11014" max="11014" width="15.6640625" style="43" bestFit="1" customWidth="1"/>
    <col min="11015" max="11015" width="8.88671875" style="43" customWidth="1"/>
    <col min="11016" max="11016" width="16" style="43" customWidth="1"/>
    <col min="11017" max="11017" width="10.33203125" style="43" customWidth="1"/>
    <col min="11018" max="11018" width="24.109375" style="43" customWidth="1"/>
    <col min="11019" max="11263" width="8.88671875" style="43"/>
    <col min="11264" max="11264" width="8.5546875" style="43" customWidth="1"/>
    <col min="11265" max="11265" width="9.5546875" style="43" customWidth="1"/>
    <col min="11266" max="11266" width="52.6640625" style="43" customWidth="1"/>
    <col min="11267" max="11267" width="25.5546875" style="43" customWidth="1"/>
    <col min="11268" max="11268" width="14.6640625" style="43" customWidth="1"/>
    <col min="11269" max="11269" width="17.44140625" style="43" customWidth="1"/>
    <col min="11270" max="11270" width="15.6640625" style="43" bestFit="1" customWidth="1"/>
    <col min="11271" max="11271" width="8.88671875" style="43" customWidth="1"/>
    <col min="11272" max="11272" width="16" style="43" customWidth="1"/>
    <col min="11273" max="11273" width="10.33203125" style="43" customWidth="1"/>
    <col min="11274" max="11274" width="24.109375" style="43" customWidth="1"/>
    <col min="11275" max="11519" width="8.88671875" style="43"/>
    <col min="11520" max="11520" width="8.5546875" style="43" customWidth="1"/>
    <col min="11521" max="11521" width="9.5546875" style="43" customWidth="1"/>
    <col min="11522" max="11522" width="52.6640625" style="43" customWidth="1"/>
    <col min="11523" max="11523" width="25.5546875" style="43" customWidth="1"/>
    <col min="11524" max="11524" width="14.6640625" style="43" customWidth="1"/>
    <col min="11525" max="11525" width="17.44140625" style="43" customWidth="1"/>
    <col min="11526" max="11526" width="15.6640625" style="43" bestFit="1" customWidth="1"/>
    <col min="11527" max="11527" width="8.88671875" style="43" customWidth="1"/>
    <col min="11528" max="11528" width="16" style="43" customWidth="1"/>
    <col min="11529" max="11529" width="10.33203125" style="43" customWidth="1"/>
    <col min="11530" max="11530" width="24.109375" style="43" customWidth="1"/>
    <col min="11531" max="11775" width="8.88671875" style="43"/>
    <col min="11776" max="11776" width="8.5546875" style="43" customWidth="1"/>
    <col min="11777" max="11777" width="9.5546875" style="43" customWidth="1"/>
    <col min="11778" max="11778" width="52.6640625" style="43" customWidth="1"/>
    <col min="11779" max="11779" width="25.5546875" style="43" customWidth="1"/>
    <col min="11780" max="11780" width="14.6640625" style="43" customWidth="1"/>
    <col min="11781" max="11781" width="17.44140625" style="43" customWidth="1"/>
    <col min="11782" max="11782" width="15.6640625" style="43" bestFit="1" customWidth="1"/>
    <col min="11783" max="11783" width="8.88671875" style="43" customWidth="1"/>
    <col min="11784" max="11784" width="16" style="43" customWidth="1"/>
    <col min="11785" max="11785" width="10.33203125" style="43" customWidth="1"/>
    <col min="11786" max="11786" width="24.109375" style="43" customWidth="1"/>
    <col min="11787" max="12031" width="8.88671875" style="43"/>
    <col min="12032" max="12032" width="8.5546875" style="43" customWidth="1"/>
    <col min="12033" max="12033" width="9.5546875" style="43" customWidth="1"/>
    <col min="12034" max="12034" width="52.6640625" style="43" customWidth="1"/>
    <col min="12035" max="12035" width="25.5546875" style="43" customWidth="1"/>
    <col min="12036" max="12036" width="14.6640625" style="43" customWidth="1"/>
    <col min="12037" max="12037" width="17.44140625" style="43" customWidth="1"/>
    <col min="12038" max="12038" width="15.6640625" style="43" bestFit="1" customWidth="1"/>
    <col min="12039" max="12039" width="8.88671875" style="43" customWidth="1"/>
    <col min="12040" max="12040" width="16" style="43" customWidth="1"/>
    <col min="12041" max="12041" width="10.33203125" style="43" customWidth="1"/>
    <col min="12042" max="12042" width="24.109375" style="43" customWidth="1"/>
    <col min="12043" max="12287" width="8.88671875" style="43"/>
    <col min="12288" max="12288" width="8.5546875" style="43" customWidth="1"/>
    <col min="12289" max="12289" width="9.5546875" style="43" customWidth="1"/>
    <col min="12290" max="12290" width="52.6640625" style="43" customWidth="1"/>
    <col min="12291" max="12291" width="25.5546875" style="43" customWidth="1"/>
    <col min="12292" max="12292" width="14.6640625" style="43" customWidth="1"/>
    <col min="12293" max="12293" width="17.44140625" style="43" customWidth="1"/>
    <col min="12294" max="12294" width="15.6640625" style="43" bestFit="1" customWidth="1"/>
    <col min="12295" max="12295" width="8.88671875" style="43" customWidth="1"/>
    <col min="12296" max="12296" width="16" style="43" customWidth="1"/>
    <col min="12297" max="12297" width="10.33203125" style="43" customWidth="1"/>
    <col min="12298" max="12298" width="24.109375" style="43" customWidth="1"/>
    <col min="12299" max="12543" width="8.88671875" style="43"/>
    <col min="12544" max="12544" width="8.5546875" style="43" customWidth="1"/>
    <col min="12545" max="12545" width="9.5546875" style="43" customWidth="1"/>
    <col min="12546" max="12546" width="52.6640625" style="43" customWidth="1"/>
    <col min="12547" max="12547" width="25.5546875" style="43" customWidth="1"/>
    <col min="12548" max="12548" width="14.6640625" style="43" customWidth="1"/>
    <col min="12549" max="12549" width="17.44140625" style="43" customWidth="1"/>
    <col min="12550" max="12550" width="15.6640625" style="43" bestFit="1" customWidth="1"/>
    <col min="12551" max="12551" width="8.88671875" style="43" customWidth="1"/>
    <col min="12552" max="12552" width="16" style="43" customWidth="1"/>
    <col min="12553" max="12553" width="10.33203125" style="43" customWidth="1"/>
    <col min="12554" max="12554" width="24.109375" style="43" customWidth="1"/>
    <col min="12555" max="12799" width="8.88671875" style="43"/>
    <col min="12800" max="12800" width="8.5546875" style="43" customWidth="1"/>
    <col min="12801" max="12801" width="9.5546875" style="43" customWidth="1"/>
    <col min="12802" max="12802" width="52.6640625" style="43" customWidth="1"/>
    <col min="12803" max="12803" width="25.5546875" style="43" customWidth="1"/>
    <col min="12804" max="12804" width="14.6640625" style="43" customWidth="1"/>
    <col min="12805" max="12805" width="17.44140625" style="43" customWidth="1"/>
    <col min="12806" max="12806" width="15.6640625" style="43" bestFit="1" customWidth="1"/>
    <col min="12807" max="12807" width="8.88671875" style="43" customWidth="1"/>
    <col min="12808" max="12808" width="16" style="43" customWidth="1"/>
    <col min="12809" max="12809" width="10.33203125" style="43" customWidth="1"/>
    <col min="12810" max="12810" width="24.109375" style="43" customWidth="1"/>
    <col min="12811" max="13055" width="8.88671875" style="43"/>
    <col min="13056" max="13056" width="8.5546875" style="43" customWidth="1"/>
    <col min="13057" max="13057" width="9.5546875" style="43" customWidth="1"/>
    <col min="13058" max="13058" width="52.6640625" style="43" customWidth="1"/>
    <col min="13059" max="13059" width="25.5546875" style="43" customWidth="1"/>
    <col min="13060" max="13060" width="14.6640625" style="43" customWidth="1"/>
    <col min="13061" max="13061" width="17.44140625" style="43" customWidth="1"/>
    <col min="13062" max="13062" width="15.6640625" style="43" bestFit="1" customWidth="1"/>
    <col min="13063" max="13063" width="8.88671875" style="43" customWidth="1"/>
    <col min="13064" max="13064" width="16" style="43" customWidth="1"/>
    <col min="13065" max="13065" width="10.33203125" style="43" customWidth="1"/>
    <col min="13066" max="13066" width="24.109375" style="43" customWidth="1"/>
    <col min="13067" max="13311" width="8.88671875" style="43"/>
    <col min="13312" max="13312" width="8.5546875" style="43" customWidth="1"/>
    <col min="13313" max="13313" width="9.5546875" style="43" customWidth="1"/>
    <col min="13314" max="13314" width="52.6640625" style="43" customWidth="1"/>
    <col min="13315" max="13315" width="25.5546875" style="43" customWidth="1"/>
    <col min="13316" max="13316" width="14.6640625" style="43" customWidth="1"/>
    <col min="13317" max="13317" width="17.44140625" style="43" customWidth="1"/>
    <col min="13318" max="13318" width="15.6640625" style="43" bestFit="1" customWidth="1"/>
    <col min="13319" max="13319" width="8.88671875" style="43" customWidth="1"/>
    <col min="13320" max="13320" width="16" style="43" customWidth="1"/>
    <col min="13321" max="13321" width="10.33203125" style="43" customWidth="1"/>
    <col min="13322" max="13322" width="24.109375" style="43" customWidth="1"/>
    <col min="13323" max="13567" width="8.88671875" style="43"/>
    <col min="13568" max="13568" width="8.5546875" style="43" customWidth="1"/>
    <col min="13569" max="13569" width="9.5546875" style="43" customWidth="1"/>
    <col min="13570" max="13570" width="52.6640625" style="43" customWidth="1"/>
    <col min="13571" max="13571" width="25.5546875" style="43" customWidth="1"/>
    <col min="13572" max="13572" width="14.6640625" style="43" customWidth="1"/>
    <col min="13573" max="13573" width="17.44140625" style="43" customWidth="1"/>
    <col min="13574" max="13574" width="15.6640625" style="43" bestFit="1" customWidth="1"/>
    <col min="13575" max="13575" width="8.88671875" style="43" customWidth="1"/>
    <col min="13576" max="13576" width="16" style="43" customWidth="1"/>
    <col min="13577" max="13577" width="10.33203125" style="43" customWidth="1"/>
    <col min="13578" max="13578" width="24.109375" style="43" customWidth="1"/>
    <col min="13579" max="13823" width="8.88671875" style="43"/>
    <col min="13824" max="13824" width="8.5546875" style="43" customWidth="1"/>
    <col min="13825" max="13825" width="9.5546875" style="43" customWidth="1"/>
    <col min="13826" max="13826" width="52.6640625" style="43" customWidth="1"/>
    <col min="13827" max="13827" width="25.5546875" style="43" customWidth="1"/>
    <col min="13828" max="13828" width="14.6640625" style="43" customWidth="1"/>
    <col min="13829" max="13829" width="17.44140625" style="43" customWidth="1"/>
    <col min="13830" max="13830" width="15.6640625" style="43" bestFit="1" customWidth="1"/>
    <col min="13831" max="13831" width="8.88671875" style="43" customWidth="1"/>
    <col min="13832" max="13832" width="16" style="43" customWidth="1"/>
    <col min="13833" max="13833" width="10.33203125" style="43" customWidth="1"/>
    <col min="13834" max="13834" width="24.109375" style="43" customWidth="1"/>
    <col min="13835" max="14079" width="8.88671875" style="43"/>
    <col min="14080" max="14080" width="8.5546875" style="43" customWidth="1"/>
    <col min="14081" max="14081" width="9.5546875" style="43" customWidth="1"/>
    <col min="14082" max="14082" width="52.6640625" style="43" customWidth="1"/>
    <col min="14083" max="14083" width="25.5546875" style="43" customWidth="1"/>
    <col min="14084" max="14084" width="14.6640625" style="43" customWidth="1"/>
    <col min="14085" max="14085" width="17.44140625" style="43" customWidth="1"/>
    <col min="14086" max="14086" width="15.6640625" style="43" bestFit="1" customWidth="1"/>
    <col min="14087" max="14087" width="8.88671875" style="43" customWidth="1"/>
    <col min="14088" max="14088" width="16" style="43" customWidth="1"/>
    <col min="14089" max="14089" width="10.33203125" style="43" customWidth="1"/>
    <col min="14090" max="14090" width="24.109375" style="43" customWidth="1"/>
    <col min="14091" max="14335" width="8.88671875" style="43"/>
    <col min="14336" max="14336" width="8.5546875" style="43" customWidth="1"/>
    <col min="14337" max="14337" width="9.5546875" style="43" customWidth="1"/>
    <col min="14338" max="14338" width="52.6640625" style="43" customWidth="1"/>
    <col min="14339" max="14339" width="25.5546875" style="43" customWidth="1"/>
    <col min="14340" max="14340" width="14.6640625" style="43" customWidth="1"/>
    <col min="14341" max="14341" width="17.44140625" style="43" customWidth="1"/>
    <col min="14342" max="14342" width="15.6640625" style="43" bestFit="1" customWidth="1"/>
    <col min="14343" max="14343" width="8.88671875" style="43" customWidth="1"/>
    <col min="14344" max="14344" width="16" style="43" customWidth="1"/>
    <col min="14345" max="14345" width="10.33203125" style="43" customWidth="1"/>
    <col min="14346" max="14346" width="24.109375" style="43" customWidth="1"/>
    <col min="14347" max="14591" width="8.88671875" style="43"/>
    <col min="14592" max="14592" width="8.5546875" style="43" customWidth="1"/>
    <col min="14593" max="14593" width="9.5546875" style="43" customWidth="1"/>
    <col min="14594" max="14594" width="52.6640625" style="43" customWidth="1"/>
    <col min="14595" max="14595" width="25.5546875" style="43" customWidth="1"/>
    <col min="14596" max="14596" width="14.6640625" style="43" customWidth="1"/>
    <col min="14597" max="14597" width="17.44140625" style="43" customWidth="1"/>
    <col min="14598" max="14598" width="15.6640625" style="43" bestFit="1" customWidth="1"/>
    <col min="14599" max="14599" width="8.88671875" style="43" customWidth="1"/>
    <col min="14600" max="14600" width="16" style="43" customWidth="1"/>
    <col min="14601" max="14601" width="10.33203125" style="43" customWidth="1"/>
    <col min="14602" max="14602" width="24.109375" style="43" customWidth="1"/>
    <col min="14603" max="14847" width="8.88671875" style="43"/>
    <col min="14848" max="14848" width="8.5546875" style="43" customWidth="1"/>
    <col min="14849" max="14849" width="9.5546875" style="43" customWidth="1"/>
    <col min="14850" max="14850" width="52.6640625" style="43" customWidth="1"/>
    <col min="14851" max="14851" width="25.5546875" style="43" customWidth="1"/>
    <col min="14852" max="14852" width="14.6640625" style="43" customWidth="1"/>
    <col min="14853" max="14853" width="17.44140625" style="43" customWidth="1"/>
    <col min="14854" max="14854" width="15.6640625" style="43" bestFit="1" customWidth="1"/>
    <col min="14855" max="14855" width="8.88671875" style="43" customWidth="1"/>
    <col min="14856" max="14856" width="16" style="43" customWidth="1"/>
    <col min="14857" max="14857" width="10.33203125" style="43" customWidth="1"/>
    <col min="14858" max="14858" width="24.109375" style="43" customWidth="1"/>
    <col min="14859" max="15103" width="8.88671875" style="43"/>
    <col min="15104" max="15104" width="8.5546875" style="43" customWidth="1"/>
    <col min="15105" max="15105" width="9.5546875" style="43" customWidth="1"/>
    <col min="15106" max="15106" width="52.6640625" style="43" customWidth="1"/>
    <col min="15107" max="15107" width="25.5546875" style="43" customWidth="1"/>
    <col min="15108" max="15108" width="14.6640625" style="43" customWidth="1"/>
    <col min="15109" max="15109" width="17.44140625" style="43" customWidth="1"/>
    <col min="15110" max="15110" width="15.6640625" style="43" bestFit="1" customWidth="1"/>
    <col min="15111" max="15111" width="8.88671875" style="43" customWidth="1"/>
    <col min="15112" max="15112" width="16" style="43" customWidth="1"/>
    <col min="15113" max="15113" width="10.33203125" style="43" customWidth="1"/>
    <col min="15114" max="15114" width="24.109375" style="43" customWidth="1"/>
    <col min="15115" max="15359" width="8.88671875" style="43"/>
    <col min="15360" max="15360" width="8.5546875" style="43" customWidth="1"/>
    <col min="15361" max="15361" width="9.5546875" style="43" customWidth="1"/>
    <col min="15362" max="15362" width="52.6640625" style="43" customWidth="1"/>
    <col min="15363" max="15363" width="25.5546875" style="43" customWidth="1"/>
    <col min="15364" max="15364" width="14.6640625" style="43" customWidth="1"/>
    <col min="15365" max="15365" width="17.44140625" style="43" customWidth="1"/>
    <col min="15366" max="15366" width="15.6640625" style="43" bestFit="1" customWidth="1"/>
    <col min="15367" max="15367" width="8.88671875" style="43" customWidth="1"/>
    <col min="15368" max="15368" width="16" style="43" customWidth="1"/>
    <col min="15369" max="15369" width="10.33203125" style="43" customWidth="1"/>
    <col min="15370" max="15370" width="24.109375" style="43" customWidth="1"/>
    <col min="15371" max="15615" width="8.88671875" style="43"/>
    <col min="15616" max="15616" width="8.5546875" style="43" customWidth="1"/>
    <col min="15617" max="15617" width="9.5546875" style="43" customWidth="1"/>
    <col min="15618" max="15618" width="52.6640625" style="43" customWidth="1"/>
    <col min="15619" max="15619" width="25.5546875" style="43" customWidth="1"/>
    <col min="15620" max="15620" width="14.6640625" style="43" customWidth="1"/>
    <col min="15621" max="15621" width="17.44140625" style="43" customWidth="1"/>
    <col min="15622" max="15622" width="15.6640625" style="43" bestFit="1" customWidth="1"/>
    <col min="15623" max="15623" width="8.88671875" style="43" customWidth="1"/>
    <col min="15624" max="15624" width="16" style="43" customWidth="1"/>
    <col min="15625" max="15625" width="10.33203125" style="43" customWidth="1"/>
    <col min="15626" max="15626" width="24.109375" style="43" customWidth="1"/>
    <col min="15627" max="15871" width="8.88671875" style="43"/>
    <col min="15872" max="15872" width="8.5546875" style="43" customWidth="1"/>
    <col min="15873" max="15873" width="9.5546875" style="43" customWidth="1"/>
    <col min="15874" max="15874" width="52.6640625" style="43" customWidth="1"/>
    <col min="15875" max="15875" width="25.5546875" style="43" customWidth="1"/>
    <col min="15876" max="15876" width="14.6640625" style="43" customWidth="1"/>
    <col min="15877" max="15877" width="17.44140625" style="43" customWidth="1"/>
    <col min="15878" max="15878" width="15.6640625" style="43" bestFit="1" customWidth="1"/>
    <col min="15879" max="15879" width="8.88671875" style="43" customWidth="1"/>
    <col min="15880" max="15880" width="16" style="43" customWidth="1"/>
    <col min="15881" max="15881" width="10.33203125" style="43" customWidth="1"/>
    <col min="15882" max="15882" width="24.109375" style="43" customWidth="1"/>
    <col min="15883" max="16127" width="8.88671875" style="43"/>
    <col min="16128" max="16128" width="8.5546875" style="43" customWidth="1"/>
    <col min="16129" max="16129" width="9.5546875" style="43" customWidth="1"/>
    <col min="16130" max="16130" width="52.6640625" style="43" customWidth="1"/>
    <col min="16131" max="16131" width="25.5546875" style="43" customWidth="1"/>
    <col min="16132" max="16132" width="14.6640625" style="43" customWidth="1"/>
    <col min="16133" max="16133" width="17.44140625" style="43" customWidth="1"/>
    <col min="16134" max="16134" width="15.6640625" style="43" bestFit="1" customWidth="1"/>
    <col min="16135" max="16135" width="8.88671875" style="43" customWidth="1"/>
    <col min="16136" max="16136" width="16" style="43" customWidth="1"/>
    <col min="16137" max="16137" width="10.33203125" style="43" customWidth="1"/>
    <col min="16138" max="16138" width="24.109375" style="43" customWidth="1"/>
    <col min="16139" max="16384" width="8.88671875" style="43"/>
  </cols>
  <sheetData>
    <row r="1" spans="1:38" ht="20.399999999999999" x14ac:dyDescent="0.35">
      <c r="A1" s="108" t="s">
        <v>115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5"/>
    </row>
    <row r="2" spans="1:38" ht="20.399999999999999" x14ac:dyDescent="0.35">
      <c r="A2" s="108" t="s">
        <v>99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5"/>
    </row>
    <row r="3" spans="1:38" ht="20.399999999999999" x14ac:dyDescent="0.35">
      <c r="A3" s="108" t="s">
        <v>451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5"/>
      <c r="Q3" s="44"/>
      <c r="R3" s="44"/>
      <c r="S3" s="44"/>
      <c r="T3" s="45"/>
      <c r="U3" s="45"/>
      <c r="V3" s="45"/>
      <c r="W3" s="44"/>
      <c r="X3" s="44"/>
      <c r="Y3" s="44"/>
      <c r="Z3" s="44"/>
      <c r="AA3" s="44"/>
      <c r="AB3" s="44"/>
    </row>
    <row r="4" spans="1:38" ht="8.25" customHeight="1" x14ac:dyDescent="0.3">
      <c r="A4" s="6" t="s">
        <v>345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8" ht="23.25" customHeight="1" x14ac:dyDescent="0.3">
      <c r="A5" s="34" t="s">
        <v>18</v>
      </c>
      <c r="B5" s="109" t="s">
        <v>0</v>
      </c>
      <c r="C5" s="110" t="s">
        <v>2</v>
      </c>
      <c r="D5" s="34" t="s">
        <v>1</v>
      </c>
      <c r="E5" s="110" t="s">
        <v>297</v>
      </c>
      <c r="F5" s="110" t="s">
        <v>310</v>
      </c>
      <c r="G5" s="103" t="s">
        <v>303</v>
      </c>
      <c r="H5" s="104"/>
      <c r="I5" s="110" t="s">
        <v>304</v>
      </c>
      <c r="J5" s="103" t="s">
        <v>302</v>
      </c>
      <c r="K5" s="104"/>
      <c r="L5" s="103" t="s">
        <v>314</v>
      </c>
      <c r="M5" s="104"/>
      <c r="N5" s="103" t="s">
        <v>296</v>
      </c>
      <c r="O5" s="10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8" ht="31.5" customHeight="1" x14ac:dyDescent="0.3">
      <c r="A6" s="36" t="s">
        <v>19</v>
      </c>
      <c r="B6" s="109"/>
      <c r="C6" s="111"/>
      <c r="D6" s="35" t="s">
        <v>343</v>
      </c>
      <c r="E6" s="111"/>
      <c r="F6" s="111"/>
      <c r="G6" s="105"/>
      <c r="H6" s="106"/>
      <c r="I6" s="112"/>
      <c r="J6" s="105"/>
      <c r="K6" s="106"/>
      <c r="L6" s="105"/>
      <c r="M6" s="106"/>
      <c r="N6" s="105"/>
      <c r="O6" s="106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8" x14ac:dyDescent="0.3">
      <c r="A7" s="35"/>
      <c r="B7" s="109"/>
      <c r="C7" s="112"/>
      <c r="D7" s="24"/>
      <c r="E7" s="7" t="s">
        <v>3</v>
      </c>
      <c r="F7" s="7" t="s">
        <v>3</v>
      </c>
      <c r="G7" s="7" t="s">
        <v>3</v>
      </c>
      <c r="H7" s="7" t="s">
        <v>4</v>
      </c>
      <c r="I7" s="7" t="s">
        <v>3</v>
      </c>
      <c r="J7" s="7" t="s">
        <v>3</v>
      </c>
      <c r="K7" s="7" t="s">
        <v>4</v>
      </c>
      <c r="L7" s="7" t="s">
        <v>3</v>
      </c>
      <c r="M7" s="7" t="s">
        <v>3</v>
      </c>
      <c r="N7" s="7" t="s">
        <v>3</v>
      </c>
      <c r="O7" s="7" t="s">
        <v>4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38" x14ac:dyDescent="0.3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21</v>
      </c>
      <c r="L8" s="9" t="s">
        <v>22</v>
      </c>
      <c r="M8" s="9" t="s">
        <v>298</v>
      </c>
      <c r="N8" s="9" t="s">
        <v>299</v>
      </c>
      <c r="O8" s="9" t="s">
        <v>300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x14ac:dyDescent="0.3">
      <c r="A9" s="24"/>
      <c r="B9" s="9"/>
      <c r="C9" s="9"/>
      <c r="D9" s="9"/>
      <c r="E9" s="9"/>
      <c r="F9" s="9"/>
      <c r="G9" s="9"/>
      <c r="H9" s="9" t="s">
        <v>301</v>
      </c>
      <c r="I9" s="9"/>
      <c r="J9" s="9"/>
      <c r="K9" s="9"/>
      <c r="L9" s="9"/>
      <c r="M9" s="33"/>
      <c r="N9" s="9" t="s">
        <v>23</v>
      </c>
      <c r="O9" s="9" t="s">
        <v>24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4"/>
    </row>
    <row r="10" spans="1:38" ht="30" customHeight="1" x14ac:dyDescent="0.3">
      <c r="A10" s="1">
        <v>5</v>
      </c>
      <c r="B10" s="2" t="s">
        <v>100</v>
      </c>
      <c r="C10" s="2"/>
      <c r="D10" s="2"/>
      <c r="E10" s="18">
        <f>E11</f>
        <v>19457645050</v>
      </c>
      <c r="F10" s="18">
        <f>F11</f>
        <v>8542718754</v>
      </c>
      <c r="G10" s="18">
        <f>G11</f>
        <v>4879784079</v>
      </c>
      <c r="H10" s="25">
        <f>G10/F10*100</f>
        <v>57.122143658482429</v>
      </c>
      <c r="I10" s="18">
        <f>I11</f>
        <v>878811435</v>
      </c>
      <c r="J10" s="18">
        <f>G10+I10</f>
        <v>5758595514</v>
      </c>
      <c r="K10" s="25">
        <f t="shared" ref="K10:K22" si="0">J10/F10*100</f>
        <v>67.40940068176333</v>
      </c>
      <c r="L10" s="18">
        <f>F10-J10</f>
        <v>2784123240</v>
      </c>
      <c r="M10" s="25">
        <f>L10/F10*100</f>
        <v>32.59059931823667</v>
      </c>
      <c r="N10" s="18">
        <f>E10-J10</f>
        <v>13699049536</v>
      </c>
      <c r="O10" s="25">
        <f>N10/E10*100</f>
        <v>70.40445799477672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38" ht="30" customHeight="1" x14ac:dyDescent="0.3">
      <c r="A11" s="1">
        <v>5.0199999999999996</v>
      </c>
      <c r="B11" s="2" t="s">
        <v>101</v>
      </c>
      <c r="C11" s="2"/>
      <c r="D11" s="2"/>
      <c r="E11" s="18">
        <f>E12+E280</f>
        <v>19457645050</v>
      </c>
      <c r="F11" s="18">
        <f>F12+F280</f>
        <v>8542718754</v>
      </c>
      <c r="G11" s="18">
        <f>G12+G280</f>
        <v>4879784079</v>
      </c>
      <c r="H11" s="25">
        <f>G11/F11*100</f>
        <v>57.122143658482429</v>
      </c>
      <c r="I11" s="18">
        <f>I12+I280</f>
        <v>878811435</v>
      </c>
      <c r="J11" s="18">
        <f>G11+I11</f>
        <v>5758595514</v>
      </c>
      <c r="K11" s="25">
        <f t="shared" si="0"/>
        <v>67.40940068176333</v>
      </c>
      <c r="L11" s="18">
        <f>F11-J11</f>
        <v>2784123240</v>
      </c>
      <c r="M11" s="25">
        <f>L11/F11*100</f>
        <v>32.59059931823667</v>
      </c>
      <c r="N11" s="18">
        <f>E11-J11</f>
        <v>13699049536</v>
      </c>
      <c r="O11" s="25">
        <f>N11/E11*100</f>
        <v>70.40445799477672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38" ht="30" customHeight="1" x14ac:dyDescent="0.3">
      <c r="A12" s="85" t="s">
        <v>102</v>
      </c>
      <c r="B12" s="3" t="s">
        <v>25</v>
      </c>
      <c r="C12" s="3"/>
      <c r="D12" s="3"/>
      <c r="E12" s="17">
        <f>E13+E46+E150+E157+E180+E209+E252+E269</f>
        <v>16161179050</v>
      </c>
      <c r="F12" s="17">
        <f>F13+F46+F150+F157+F180+F209+F252+F269</f>
        <v>7854500954</v>
      </c>
      <c r="G12" s="17">
        <f>G13+G46+G150+G157+G180+G209+G252+G269</f>
        <v>4879784079</v>
      </c>
      <c r="H12" s="26">
        <f>G12/F12*100</f>
        <v>62.127232622142735</v>
      </c>
      <c r="I12" s="17">
        <f>I13+I46+I150+I157+I180+I209+I252+I269</f>
        <v>721113507</v>
      </c>
      <c r="J12" s="17">
        <f>J13+J46+J150+J157+J180+J209+J252+J269</f>
        <v>5600897586</v>
      </c>
      <c r="K12" s="26">
        <f t="shared" si="0"/>
        <v>71.308127897644141</v>
      </c>
      <c r="L12" s="17">
        <f>L13+L46+L150+L157+L180+L209+L252+L269</f>
        <v>2249797368</v>
      </c>
      <c r="M12" s="26">
        <f>L12/F12*100</f>
        <v>28.64341580930439</v>
      </c>
      <c r="N12" s="17">
        <f>N13+N46+N150+N157+N180+N209+N252+N269</f>
        <v>10560281464</v>
      </c>
      <c r="O12" s="26">
        <f>N12/E12*100</f>
        <v>65.343508857418414</v>
      </c>
      <c r="P12" s="80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38" ht="34.200000000000003" customHeight="1" x14ac:dyDescent="0.3">
      <c r="A13" s="86" t="s">
        <v>103</v>
      </c>
      <c r="B13" s="10" t="s">
        <v>26</v>
      </c>
      <c r="C13" s="4"/>
      <c r="D13" s="4"/>
      <c r="E13" s="16">
        <f>E14+E24+E31+E38</f>
        <v>77779300</v>
      </c>
      <c r="F13" s="16">
        <f>F14+F24+F31+F38</f>
        <v>19805000</v>
      </c>
      <c r="G13" s="16">
        <f>G14+G24+G31+G38</f>
        <v>0</v>
      </c>
      <c r="H13" s="27">
        <f>G13/F13*100</f>
        <v>0</v>
      </c>
      <c r="I13" s="16">
        <f>I14+I24+I31+I38</f>
        <v>12370000</v>
      </c>
      <c r="J13" s="16">
        <f t="shared" ref="J13:J154" si="1">G13+I13</f>
        <v>12370000</v>
      </c>
      <c r="K13" s="27">
        <f t="shared" si="0"/>
        <v>62.458975006311533</v>
      </c>
      <c r="L13" s="16">
        <f>L14+L25+L32+L39</f>
        <v>3629000</v>
      </c>
      <c r="M13" s="27">
        <f t="shared" ref="M13:M22" si="2">L13/F13*100</f>
        <v>18.323655642514517</v>
      </c>
      <c r="N13" s="16">
        <f t="shared" ref="N13:N154" si="3">E13-J13</f>
        <v>65409300</v>
      </c>
      <c r="O13" s="27">
        <f t="shared" ref="O13:O154" si="4">N13/E13*100</f>
        <v>84.096025549214247</v>
      </c>
      <c r="P13" s="80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38" ht="38.4" customHeight="1" x14ac:dyDescent="0.3">
      <c r="A14" s="87" t="s">
        <v>104</v>
      </c>
      <c r="B14" s="11" t="s">
        <v>27</v>
      </c>
      <c r="C14" s="12" t="s">
        <v>164</v>
      </c>
      <c r="D14" s="15" t="s">
        <v>15</v>
      </c>
      <c r="E14" s="19">
        <f>SUM(E15:E22)</f>
        <v>60642000</v>
      </c>
      <c r="F14" s="19">
        <f>SUM(F15:F22)</f>
        <v>15672000</v>
      </c>
      <c r="G14" s="19">
        <f>SUM(G15:G22)</f>
        <v>0</v>
      </c>
      <c r="H14" s="28">
        <f>G14/F14*100</f>
        <v>0</v>
      </c>
      <c r="I14" s="19">
        <f>SUM(I15:I22)</f>
        <v>12370000</v>
      </c>
      <c r="J14" s="19">
        <f t="shared" si="1"/>
        <v>12370000</v>
      </c>
      <c r="K14" s="28">
        <f t="shared" si="0"/>
        <v>78.930576824910673</v>
      </c>
      <c r="L14" s="19">
        <f t="shared" ref="L14:L27" si="5">F14-J14</f>
        <v>3302000</v>
      </c>
      <c r="M14" s="28">
        <f t="shared" si="2"/>
        <v>21.06942317508933</v>
      </c>
      <c r="N14" s="19">
        <f t="shared" si="3"/>
        <v>48272000</v>
      </c>
      <c r="O14" s="28">
        <f t="shared" si="4"/>
        <v>79.601596253421718</v>
      </c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38" ht="27.75" customHeight="1" x14ac:dyDescent="0.3">
      <c r="A15" s="39" t="s">
        <v>48</v>
      </c>
      <c r="B15" s="64" t="s">
        <v>346</v>
      </c>
      <c r="C15" s="55"/>
      <c r="D15" s="62"/>
      <c r="E15" s="21">
        <v>9000000</v>
      </c>
      <c r="F15" s="21">
        <v>1500000</v>
      </c>
      <c r="G15" s="21">
        <v>0</v>
      </c>
      <c r="H15" s="29">
        <f t="shared" ref="H15:H44" si="6">G15/F15*100</f>
        <v>0</v>
      </c>
      <c r="I15" s="21">
        <f>1500000</f>
        <v>1500000</v>
      </c>
      <c r="J15" s="21">
        <f t="shared" si="1"/>
        <v>1500000</v>
      </c>
      <c r="K15" s="29">
        <f t="shared" si="0"/>
        <v>100</v>
      </c>
      <c r="L15" s="21">
        <f t="shared" si="5"/>
        <v>0</v>
      </c>
      <c r="M15" s="29">
        <f t="shared" si="2"/>
        <v>0</v>
      </c>
      <c r="N15" s="21">
        <f t="shared" si="3"/>
        <v>7500000</v>
      </c>
      <c r="O15" s="29">
        <f t="shared" si="4"/>
        <v>83.333333333333343</v>
      </c>
      <c r="Q15" s="99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38" ht="27.75" customHeight="1" x14ac:dyDescent="0.3">
      <c r="A16" s="39" t="s">
        <v>28</v>
      </c>
      <c r="B16" s="40" t="s">
        <v>29</v>
      </c>
      <c r="C16" s="55"/>
      <c r="D16" s="62"/>
      <c r="E16" s="21">
        <v>409000</v>
      </c>
      <c r="F16" s="21">
        <v>409000</v>
      </c>
      <c r="G16" s="21">
        <v>0</v>
      </c>
      <c r="H16" s="29">
        <f t="shared" si="6"/>
        <v>0</v>
      </c>
      <c r="I16" s="21">
        <v>0</v>
      </c>
      <c r="J16" s="21">
        <f t="shared" si="1"/>
        <v>0</v>
      </c>
      <c r="K16" s="29">
        <f t="shared" si="0"/>
        <v>0</v>
      </c>
      <c r="L16" s="21">
        <f t="shared" si="5"/>
        <v>409000</v>
      </c>
      <c r="M16" s="29">
        <f t="shared" si="2"/>
        <v>100</v>
      </c>
      <c r="N16" s="21">
        <f t="shared" si="3"/>
        <v>409000</v>
      </c>
      <c r="O16" s="29">
        <f t="shared" si="4"/>
        <v>100</v>
      </c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ht="32.4" customHeight="1" x14ac:dyDescent="0.3">
      <c r="A17" s="39" t="s">
        <v>311</v>
      </c>
      <c r="B17" s="40" t="s">
        <v>315</v>
      </c>
      <c r="C17" s="55"/>
      <c r="D17" s="62"/>
      <c r="E17" s="21">
        <v>3223000</v>
      </c>
      <c r="F17" s="21">
        <v>806000</v>
      </c>
      <c r="G17" s="21">
        <v>0</v>
      </c>
      <c r="H17" s="29">
        <f t="shared" si="6"/>
        <v>0</v>
      </c>
      <c r="I17" s="21">
        <v>0</v>
      </c>
      <c r="J17" s="21">
        <f t="shared" si="1"/>
        <v>0</v>
      </c>
      <c r="K17" s="29">
        <f t="shared" si="0"/>
        <v>0</v>
      </c>
      <c r="L17" s="21">
        <f t="shared" si="5"/>
        <v>806000</v>
      </c>
      <c r="M17" s="29">
        <f t="shared" si="2"/>
        <v>100</v>
      </c>
      <c r="N17" s="21">
        <f t="shared" si="3"/>
        <v>3223000</v>
      </c>
      <c r="O17" s="29">
        <f t="shared" si="4"/>
        <v>100</v>
      </c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ht="32.25" customHeight="1" x14ac:dyDescent="0.3">
      <c r="A18" s="39" t="s">
        <v>31</v>
      </c>
      <c r="B18" s="40" t="s">
        <v>30</v>
      </c>
      <c r="C18" s="55"/>
      <c r="D18" s="62"/>
      <c r="E18" s="21">
        <v>1350000</v>
      </c>
      <c r="F18" s="21">
        <v>337000</v>
      </c>
      <c r="G18" s="21">
        <v>0</v>
      </c>
      <c r="H18" s="29">
        <f t="shared" si="6"/>
        <v>0</v>
      </c>
      <c r="I18" s="21">
        <v>0</v>
      </c>
      <c r="J18" s="21">
        <f t="shared" si="1"/>
        <v>0</v>
      </c>
      <c r="K18" s="29">
        <f t="shared" si="0"/>
        <v>0</v>
      </c>
      <c r="L18" s="21">
        <f t="shared" si="5"/>
        <v>337000</v>
      </c>
      <c r="M18" s="29">
        <f t="shared" si="2"/>
        <v>100</v>
      </c>
      <c r="N18" s="21">
        <f t="shared" si="3"/>
        <v>1350000</v>
      </c>
      <c r="O18" s="29">
        <f t="shared" si="4"/>
        <v>100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ht="32.25" customHeight="1" x14ac:dyDescent="0.3">
      <c r="A19" s="39" t="s">
        <v>312</v>
      </c>
      <c r="B19" s="40" t="s">
        <v>313</v>
      </c>
      <c r="C19" s="55"/>
      <c r="D19" s="62"/>
      <c r="E19" s="21">
        <v>1000000</v>
      </c>
      <c r="F19" s="21">
        <v>0</v>
      </c>
      <c r="G19" s="21">
        <v>0</v>
      </c>
      <c r="H19" s="29">
        <v>0</v>
      </c>
      <c r="I19" s="21">
        <v>0</v>
      </c>
      <c r="J19" s="21">
        <f t="shared" si="1"/>
        <v>0</v>
      </c>
      <c r="K19" s="29">
        <v>0</v>
      </c>
      <c r="L19" s="21">
        <f t="shared" si="5"/>
        <v>0</v>
      </c>
      <c r="M19" s="29">
        <v>0</v>
      </c>
      <c r="N19" s="21">
        <f t="shared" si="3"/>
        <v>1000000</v>
      </c>
      <c r="O19" s="29">
        <f t="shared" si="4"/>
        <v>100</v>
      </c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7" ht="27.6" customHeight="1" x14ac:dyDescent="0.3">
      <c r="A20" s="39" t="s">
        <v>32</v>
      </c>
      <c r="B20" s="40" t="s">
        <v>16</v>
      </c>
      <c r="C20" s="55"/>
      <c r="D20" s="62"/>
      <c r="E20" s="21">
        <v>1800000</v>
      </c>
      <c r="F20" s="21">
        <v>0</v>
      </c>
      <c r="G20" s="21">
        <v>0</v>
      </c>
      <c r="H20" s="29">
        <v>0</v>
      </c>
      <c r="I20" s="21">
        <v>0</v>
      </c>
      <c r="J20" s="21">
        <f t="shared" si="1"/>
        <v>0</v>
      </c>
      <c r="K20" s="29">
        <v>0</v>
      </c>
      <c r="L20" s="21">
        <f t="shared" si="5"/>
        <v>0</v>
      </c>
      <c r="M20" s="29">
        <v>0</v>
      </c>
      <c r="N20" s="21">
        <f t="shared" si="3"/>
        <v>1800000</v>
      </c>
      <c r="O20" s="29">
        <f t="shared" si="4"/>
        <v>100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ht="28.2" customHeight="1" x14ac:dyDescent="0.3">
      <c r="A21" s="39" t="s">
        <v>31</v>
      </c>
      <c r="B21" s="40" t="s">
        <v>34</v>
      </c>
      <c r="C21" s="55"/>
      <c r="D21" s="62"/>
      <c r="E21" s="21">
        <v>12000000</v>
      </c>
      <c r="F21" s="21">
        <v>2000000</v>
      </c>
      <c r="G21" s="21">
        <v>0</v>
      </c>
      <c r="H21" s="29">
        <f>G21/F21*100</f>
        <v>0</v>
      </c>
      <c r="I21" s="21">
        <f>2000000</f>
        <v>2000000</v>
      </c>
      <c r="J21" s="21">
        <f t="shared" si="1"/>
        <v>2000000</v>
      </c>
      <c r="K21" s="29">
        <f t="shared" ref="K21" si="7">J21/F21*100</f>
        <v>100</v>
      </c>
      <c r="L21" s="21">
        <f t="shared" si="5"/>
        <v>0</v>
      </c>
      <c r="M21" s="29">
        <f t="shared" si="2"/>
        <v>0</v>
      </c>
      <c r="N21" s="21">
        <f t="shared" si="3"/>
        <v>10000000</v>
      </c>
      <c r="O21" s="29">
        <f t="shared" si="4"/>
        <v>83.333333333333343</v>
      </c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ht="29.4" customHeight="1" x14ac:dyDescent="0.3">
      <c r="A22" s="39" t="s">
        <v>35</v>
      </c>
      <c r="B22" s="40" t="s">
        <v>63</v>
      </c>
      <c r="C22" s="55"/>
      <c r="D22" s="62"/>
      <c r="E22" s="21">
        <v>31860000</v>
      </c>
      <c r="F22" s="21">
        <v>10620000</v>
      </c>
      <c r="G22" s="21">
        <v>0</v>
      </c>
      <c r="H22" s="29">
        <f t="shared" si="6"/>
        <v>0</v>
      </c>
      <c r="I22" s="21">
        <f>8870000</f>
        <v>8870000</v>
      </c>
      <c r="J22" s="21">
        <f t="shared" si="1"/>
        <v>8870000</v>
      </c>
      <c r="K22" s="29">
        <f t="shared" si="0"/>
        <v>83.52165725047081</v>
      </c>
      <c r="L22" s="21">
        <f t="shared" si="5"/>
        <v>1750000</v>
      </c>
      <c r="M22" s="29">
        <f t="shared" si="2"/>
        <v>16.47834274952919</v>
      </c>
      <c r="N22" s="21">
        <f t="shared" si="3"/>
        <v>22990000</v>
      </c>
      <c r="O22" s="29">
        <f t="shared" si="4"/>
        <v>72.159447583176402</v>
      </c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1:27" ht="16.2" customHeight="1" x14ac:dyDescent="0.3">
      <c r="A23" s="88"/>
      <c r="B23" s="12"/>
      <c r="C23" s="13"/>
      <c r="D23" s="13"/>
      <c r="E23" s="19"/>
      <c r="F23" s="19"/>
      <c r="G23" s="14"/>
      <c r="H23" s="30"/>
      <c r="I23" s="14"/>
      <c r="J23" s="14"/>
      <c r="K23" s="30"/>
      <c r="L23" s="14"/>
      <c r="M23" s="30"/>
      <c r="N23" s="14"/>
      <c r="O23" s="30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ht="34.799999999999997" customHeight="1" x14ac:dyDescent="0.3">
      <c r="A24" s="87" t="s">
        <v>105</v>
      </c>
      <c r="B24" s="11" t="s">
        <v>37</v>
      </c>
      <c r="C24" s="12" t="s">
        <v>164</v>
      </c>
      <c r="D24" s="15" t="s">
        <v>294</v>
      </c>
      <c r="E24" s="19">
        <f>SUM(E25:E29)</f>
        <v>3002000</v>
      </c>
      <c r="F24" s="19">
        <f>SUM(F25:F29)</f>
        <v>0</v>
      </c>
      <c r="G24" s="19">
        <f>SUM(G25:G29)</f>
        <v>0</v>
      </c>
      <c r="H24" s="32">
        <v>0</v>
      </c>
      <c r="I24" s="19">
        <f>SUM(I25:I29)</f>
        <v>0</v>
      </c>
      <c r="J24" s="19">
        <f t="shared" si="1"/>
        <v>0</v>
      </c>
      <c r="K24" s="32">
        <v>0</v>
      </c>
      <c r="L24" s="19">
        <f t="shared" si="5"/>
        <v>0</v>
      </c>
      <c r="M24" s="32">
        <v>0</v>
      </c>
      <c r="N24" s="19">
        <f>SUM(N25:N29)</f>
        <v>3002000</v>
      </c>
      <c r="O24" s="28">
        <f t="shared" si="4"/>
        <v>100</v>
      </c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ht="33" customHeight="1" x14ac:dyDescent="0.3">
      <c r="A25" s="39" t="s">
        <v>28</v>
      </c>
      <c r="B25" s="40" t="s">
        <v>29</v>
      </c>
      <c r="C25" s="55"/>
      <c r="D25" s="62"/>
      <c r="E25" s="21">
        <v>532000</v>
      </c>
      <c r="F25" s="21">
        <v>0</v>
      </c>
      <c r="G25" s="21">
        <v>0</v>
      </c>
      <c r="H25" s="29">
        <v>0</v>
      </c>
      <c r="I25" s="21">
        <v>0</v>
      </c>
      <c r="J25" s="21">
        <f t="shared" si="1"/>
        <v>0</v>
      </c>
      <c r="K25" s="29">
        <v>0</v>
      </c>
      <c r="L25" s="21">
        <f t="shared" si="5"/>
        <v>0</v>
      </c>
      <c r="M25" s="29">
        <v>0</v>
      </c>
      <c r="N25" s="21">
        <f t="shared" ref="N25" si="8">E25-J25</f>
        <v>532000</v>
      </c>
      <c r="O25" s="29">
        <f t="shared" si="4"/>
        <v>100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1:27" ht="30" customHeight="1" x14ac:dyDescent="0.3">
      <c r="A26" s="39" t="s">
        <v>311</v>
      </c>
      <c r="B26" s="40" t="s">
        <v>315</v>
      </c>
      <c r="C26" s="40"/>
      <c r="D26" s="51"/>
      <c r="E26" s="21">
        <v>395000</v>
      </c>
      <c r="F26" s="21">
        <v>0</v>
      </c>
      <c r="G26" s="21">
        <v>0</v>
      </c>
      <c r="H26" s="29">
        <v>0</v>
      </c>
      <c r="I26" s="21">
        <v>0</v>
      </c>
      <c r="J26" s="21">
        <f t="shared" si="1"/>
        <v>0</v>
      </c>
      <c r="K26" s="29">
        <v>0</v>
      </c>
      <c r="L26" s="21">
        <f t="shared" si="5"/>
        <v>0</v>
      </c>
      <c r="M26" s="29">
        <v>0</v>
      </c>
      <c r="N26" s="21">
        <f t="shared" si="3"/>
        <v>395000</v>
      </c>
      <c r="O26" s="29">
        <f t="shared" si="4"/>
        <v>100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1:27" ht="30" customHeight="1" x14ac:dyDescent="0.3">
      <c r="A27" s="39" t="s">
        <v>31</v>
      </c>
      <c r="B27" s="40" t="s">
        <v>75</v>
      </c>
      <c r="C27" s="40"/>
      <c r="D27" s="51"/>
      <c r="E27" s="21">
        <v>175000</v>
      </c>
      <c r="F27" s="21">
        <v>0</v>
      </c>
      <c r="G27" s="21">
        <v>0</v>
      </c>
      <c r="H27" s="29">
        <v>0</v>
      </c>
      <c r="I27" s="21">
        <v>0</v>
      </c>
      <c r="J27" s="21">
        <f t="shared" si="1"/>
        <v>0</v>
      </c>
      <c r="K27" s="29">
        <v>0</v>
      </c>
      <c r="L27" s="21">
        <f t="shared" si="5"/>
        <v>0</v>
      </c>
      <c r="M27" s="29">
        <v>0</v>
      </c>
      <c r="N27" s="21">
        <f t="shared" si="3"/>
        <v>175000</v>
      </c>
      <c r="O27" s="29">
        <f t="shared" si="4"/>
        <v>100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27" ht="30" customHeight="1" x14ac:dyDescent="0.3">
      <c r="A28" s="39" t="s">
        <v>312</v>
      </c>
      <c r="B28" s="40" t="s">
        <v>313</v>
      </c>
      <c r="C28" s="55"/>
      <c r="D28" s="62"/>
      <c r="E28" s="21">
        <v>900000</v>
      </c>
      <c r="F28" s="21">
        <v>0</v>
      </c>
      <c r="G28" s="21">
        <v>0</v>
      </c>
      <c r="H28" s="29">
        <v>0</v>
      </c>
      <c r="I28" s="21">
        <v>0</v>
      </c>
      <c r="J28" s="21">
        <f t="shared" si="1"/>
        <v>0</v>
      </c>
      <c r="K28" s="29">
        <v>0</v>
      </c>
      <c r="L28" s="21">
        <f>F28-J28</f>
        <v>0</v>
      </c>
      <c r="M28" s="29">
        <v>0</v>
      </c>
      <c r="N28" s="21">
        <f t="shared" si="3"/>
        <v>900000</v>
      </c>
      <c r="O28" s="29">
        <f t="shared" si="4"/>
        <v>100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1:27" ht="30" customHeight="1" x14ac:dyDescent="0.3">
      <c r="A29" s="39" t="s">
        <v>32</v>
      </c>
      <c r="B29" s="40" t="s">
        <v>16</v>
      </c>
      <c r="C29" s="55"/>
      <c r="D29" s="62"/>
      <c r="E29" s="21">
        <v>1000000</v>
      </c>
      <c r="F29" s="21">
        <v>0</v>
      </c>
      <c r="G29" s="21">
        <v>0</v>
      </c>
      <c r="H29" s="29">
        <v>0</v>
      </c>
      <c r="I29" s="21">
        <v>0</v>
      </c>
      <c r="J29" s="21">
        <f t="shared" si="1"/>
        <v>0</v>
      </c>
      <c r="K29" s="29">
        <v>0</v>
      </c>
      <c r="L29" s="21">
        <f>F29-J29</f>
        <v>0</v>
      </c>
      <c r="M29" s="29">
        <v>0</v>
      </c>
      <c r="N29" s="21">
        <f t="shared" si="3"/>
        <v>1000000</v>
      </c>
      <c r="O29" s="29">
        <f t="shared" si="4"/>
        <v>100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1:27" ht="18" customHeight="1" x14ac:dyDescent="0.3">
      <c r="A30" s="74"/>
      <c r="B30" s="13"/>
      <c r="C30" s="13"/>
      <c r="D30" s="48"/>
      <c r="E30" s="14"/>
      <c r="F30" s="14"/>
      <c r="G30" s="14"/>
      <c r="H30" s="30"/>
      <c r="I30" s="14"/>
      <c r="J30" s="14"/>
      <c r="K30" s="30"/>
      <c r="L30" s="21"/>
      <c r="M30" s="29"/>
      <c r="N30" s="14"/>
      <c r="O30" s="30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1:27" ht="34.200000000000003" customHeight="1" x14ac:dyDescent="0.3">
      <c r="A31" s="87" t="s">
        <v>106</v>
      </c>
      <c r="B31" s="11" t="s">
        <v>38</v>
      </c>
      <c r="C31" s="12" t="s">
        <v>164</v>
      </c>
      <c r="D31" s="15" t="s">
        <v>15</v>
      </c>
      <c r="E31" s="19">
        <f>SUM(E32:E36)</f>
        <v>3000300</v>
      </c>
      <c r="F31" s="19">
        <f>SUM(F32:F36)</f>
        <v>0</v>
      </c>
      <c r="G31" s="19">
        <f>SUM(G32:G36)</f>
        <v>0</v>
      </c>
      <c r="H31" s="28">
        <v>0</v>
      </c>
      <c r="I31" s="19">
        <f>SUM(I32:I36)</f>
        <v>0</v>
      </c>
      <c r="J31" s="19">
        <f>G31+I31</f>
        <v>0</v>
      </c>
      <c r="K31" s="28">
        <v>0</v>
      </c>
      <c r="L31" s="22">
        <f t="shared" ref="L31:L35" si="9">F31-J31</f>
        <v>0</v>
      </c>
      <c r="M31" s="32">
        <v>0</v>
      </c>
      <c r="N31" s="19">
        <f t="shared" ref="N31" si="10">E31-J31</f>
        <v>3000300</v>
      </c>
      <c r="O31" s="28">
        <f t="shared" ref="O31" si="11">N31/E31*100</f>
        <v>100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ht="33.75" customHeight="1" x14ac:dyDescent="0.3">
      <c r="A32" s="39" t="s">
        <v>28</v>
      </c>
      <c r="B32" s="40" t="s">
        <v>29</v>
      </c>
      <c r="C32" s="55"/>
      <c r="D32" s="62"/>
      <c r="E32" s="21">
        <v>279000</v>
      </c>
      <c r="F32" s="21">
        <v>0</v>
      </c>
      <c r="G32" s="21">
        <v>0</v>
      </c>
      <c r="H32" s="29">
        <v>0</v>
      </c>
      <c r="I32" s="21">
        <v>0</v>
      </c>
      <c r="J32" s="21">
        <f t="shared" si="1"/>
        <v>0</v>
      </c>
      <c r="K32" s="29">
        <v>0</v>
      </c>
      <c r="L32" s="21">
        <f t="shared" si="9"/>
        <v>0</v>
      </c>
      <c r="M32" s="29">
        <v>0</v>
      </c>
      <c r="N32" s="21">
        <f t="shared" si="3"/>
        <v>279000</v>
      </c>
      <c r="O32" s="29">
        <f t="shared" si="4"/>
        <v>100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ht="33" customHeight="1" x14ac:dyDescent="0.3">
      <c r="A33" s="39" t="s">
        <v>311</v>
      </c>
      <c r="B33" s="40" t="s">
        <v>315</v>
      </c>
      <c r="C33" s="40"/>
      <c r="D33" s="51"/>
      <c r="E33" s="21">
        <v>293000</v>
      </c>
      <c r="F33" s="21">
        <v>0</v>
      </c>
      <c r="G33" s="21">
        <v>0</v>
      </c>
      <c r="H33" s="29">
        <v>0</v>
      </c>
      <c r="I33" s="21">
        <v>0</v>
      </c>
      <c r="J33" s="21">
        <f t="shared" si="1"/>
        <v>0</v>
      </c>
      <c r="K33" s="29">
        <v>0</v>
      </c>
      <c r="L33" s="21">
        <f t="shared" si="9"/>
        <v>0</v>
      </c>
      <c r="M33" s="29">
        <v>0</v>
      </c>
      <c r="N33" s="21">
        <f t="shared" si="3"/>
        <v>293000</v>
      </c>
      <c r="O33" s="29">
        <f t="shared" si="4"/>
        <v>100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ht="33" customHeight="1" x14ac:dyDescent="0.3">
      <c r="A34" s="39" t="s">
        <v>31</v>
      </c>
      <c r="B34" s="40" t="s">
        <v>30</v>
      </c>
      <c r="C34" s="55"/>
      <c r="D34" s="62"/>
      <c r="E34" s="21">
        <v>603300</v>
      </c>
      <c r="F34" s="21">
        <v>0</v>
      </c>
      <c r="G34" s="21">
        <v>0</v>
      </c>
      <c r="H34" s="29">
        <v>0</v>
      </c>
      <c r="I34" s="21">
        <v>0</v>
      </c>
      <c r="J34" s="21">
        <f t="shared" si="1"/>
        <v>0</v>
      </c>
      <c r="K34" s="29">
        <v>0</v>
      </c>
      <c r="L34" s="21">
        <f>F34-J34</f>
        <v>0</v>
      </c>
      <c r="M34" s="29">
        <v>0</v>
      </c>
      <c r="N34" s="21">
        <f t="shared" si="3"/>
        <v>603300</v>
      </c>
      <c r="O34" s="29">
        <f t="shared" si="4"/>
        <v>100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1:27" ht="29.25" customHeight="1" x14ac:dyDescent="0.3">
      <c r="A35" s="39" t="s">
        <v>312</v>
      </c>
      <c r="B35" s="40" t="s">
        <v>313</v>
      </c>
      <c r="C35" s="40"/>
      <c r="D35" s="51"/>
      <c r="E35" s="21">
        <v>625000</v>
      </c>
      <c r="F35" s="21">
        <v>0</v>
      </c>
      <c r="G35" s="21">
        <v>0</v>
      </c>
      <c r="H35" s="29">
        <v>0</v>
      </c>
      <c r="I35" s="21">
        <v>0</v>
      </c>
      <c r="J35" s="21">
        <f t="shared" si="1"/>
        <v>0</v>
      </c>
      <c r="K35" s="29">
        <v>0</v>
      </c>
      <c r="L35" s="21">
        <f t="shared" si="9"/>
        <v>0</v>
      </c>
      <c r="M35" s="29">
        <v>0</v>
      </c>
      <c r="N35" s="21">
        <f t="shared" si="3"/>
        <v>625000</v>
      </c>
      <c r="O35" s="29">
        <f t="shared" si="4"/>
        <v>100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1:27" ht="29.25" customHeight="1" x14ac:dyDescent="0.3">
      <c r="A36" s="39" t="s">
        <v>32</v>
      </c>
      <c r="B36" s="40" t="s">
        <v>16</v>
      </c>
      <c r="C36" s="55"/>
      <c r="D36" s="62"/>
      <c r="E36" s="21">
        <v>1200000</v>
      </c>
      <c r="F36" s="21">
        <v>0</v>
      </c>
      <c r="G36" s="21">
        <v>0</v>
      </c>
      <c r="H36" s="29">
        <v>0</v>
      </c>
      <c r="I36" s="21">
        <v>0</v>
      </c>
      <c r="J36" s="21">
        <f t="shared" si="1"/>
        <v>0</v>
      </c>
      <c r="K36" s="29">
        <v>0</v>
      </c>
      <c r="L36" s="21">
        <f>F36-J36</f>
        <v>0</v>
      </c>
      <c r="M36" s="29">
        <v>0</v>
      </c>
      <c r="N36" s="21">
        <f t="shared" si="3"/>
        <v>1200000</v>
      </c>
      <c r="O36" s="29">
        <f t="shared" si="4"/>
        <v>100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1:27" ht="14.4" customHeight="1" x14ac:dyDescent="0.3">
      <c r="A37" s="57"/>
      <c r="B37" s="13"/>
      <c r="C37" s="13"/>
      <c r="D37" s="48"/>
      <c r="E37" s="14"/>
      <c r="F37" s="14"/>
      <c r="G37" s="14"/>
      <c r="H37" s="30"/>
      <c r="I37" s="14"/>
      <c r="J37" s="14"/>
      <c r="K37" s="30"/>
      <c r="L37" s="14"/>
      <c r="M37" s="30"/>
      <c r="N37" s="14"/>
      <c r="O37" s="30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7" ht="36.6" customHeight="1" x14ac:dyDescent="0.3">
      <c r="A38" s="87" t="s">
        <v>107</v>
      </c>
      <c r="B38" s="11" t="s">
        <v>39</v>
      </c>
      <c r="C38" s="12" t="s">
        <v>164</v>
      </c>
      <c r="D38" s="15" t="s">
        <v>15</v>
      </c>
      <c r="E38" s="19">
        <f>SUM(E39:E44)</f>
        <v>11135000</v>
      </c>
      <c r="F38" s="19">
        <f>SUM(F39:F44)</f>
        <v>4133000</v>
      </c>
      <c r="G38" s="19">
        <f>SUM(G39:G44)</f>
        <v>0</v>
      </c>
      <c r="H38" s="28">
        <f t="shared" si="6"/>
        <v>0</v>
      </c>
      <c r="I38" s="19">
        <f>SUM(I39:I44)</f>
        <v>0</v>
      </c>
      <c r="J38" s="19">
        <f t="shared" ref="J38" si="12">G38+I38</f>
        <v>0</v>
      </c>
      <c r="K38" s="28">
        <f>J38/F38*100</f>
        <v>0</v>
      </c>
      <c r="L38" s="19">
        <f t="shared" ref="L38:L44" si="13">F38-J38</f>
        <v>4133000</v>
      </c>
      <c r="M38" s="28">
        <f t="shared" ref="M38:M44" si="14">L38/F38*100</f>
        <v>100</v>
      </c>
      <c r="N38" s="19">
        <f t="shared" ref="N38" si="15">E38-J38</f>
        <v>11135000</v>
      </c>
      <c r="O38" s="28">
        <f t="shared" ref="O38" si="16">N38/E38*100</f>
        <v>100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1:27" s="49" customFormat="1" ht="27.75" customHeight="1" x14ac:dyDescent="0.3">
      <c r="A39" s="39" t="s">
        <v>28</v>
      </c>
      <c r="B39" s="40" t="s">
        <v>29</v>
      </c>
      <c r="C39" s="55"/>
      <c r="D39" s="62"/>
      <c r="E39" s="21">
        <v>655000</v>
      </c>
      <c r="F39" s="21">
        <v>327000</v>
      </c>
      <c r="G39" s="21">
        <v>0</v>
      </c>
      <c r="H39" s="29">
        <f t="shared" si="6"/>
        <v>0</v>
      </c>
      <c r="I39" s="21">
        <v>0</v>
      </c>
      <c r="J39" s="21">
        <f t="shared" si="1"/>
        <v>0</v>
      </c>
      <c r="K39" s="29">
        <f>J39/F39*100</f>
        <v>0</v>
      </c>
      <c r="L39" s="21">
        <f t="shared" si="13"/>
        <v>327000</v>
      </c>
      <c r="M39" s="29">
        <f t="shared" si="14"/>
        <v>100</v>
      </c>
      <c r="N39" s="21">
        <f t="shared" si="3"/>
        <v>655000</v>
      </c>
      <c r="O39" s="29">
        <f t="shared" si="4"/>
        <v>100</v>
      </c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:27" ht="30" customHeight="1" x14ac:dyDescent="0.3">
      <c r="A40" s="39" t="s">
        <v>311</v>
      </c>
      <c r="B40" s="40" t="s">
        <v>315</v>
      </c>
      <c r="C40" s="55"/>
      <c r="D40" s="62"/>
      <c r="E40" s="21">
        <v>2547000</v>
      </c>
      <c r="F40" s="21">
        <v>636000</v>
      </c>
      <c r="G40" s="21">
        <v>0</v>
      </c>
      <c r="H40" s="29">
        <f>G40/F40*100</f>
        <v>0</v>
      </c>
      <c r="I40" s="21">
        <v>0</v>
      </c>
      <c r="J40" s="21">
        <f t="shared" si="1"/>
        <v>0</v>
      </c>
      <c r="K40" s="29">
        <f>J40/F40*100</f>
        <v>0</v>
      </c>
      <c r="L40" s="21">
        <f t="shared" si="13"/>
        <v>636000</v>
      </c>
      <c r="M40" s="29">
        <f t="shared" si="14"/>
        <v>100</v>
      </c>
      <c r="N40" s="21">
        <f>E40-J40</f>
        <v>2547000</v>
      </c>
      <c r="O40" s="29">
        <f t="shared" si="4"/>
        <v>100</v>
      </c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1:27" ht="33" customHeight="1" x14ac:dyDescent="0.3">
      <c r="A41" s="39" t="s">
        <v>31</v>
      </c>
      <c r="B41" s="40" t="s">
        <v>30</v>
      </c>
      <c r="C41" s="55"/>
      <c r="D41" s="62"/>
      <c r="E41" s="21">
        <v>63000</v>
      </c>
      <c r="F41" s="21">
        <v>0</v>
      </c>
      <c r="G41" s="21">
        <v>0</v>
      </c>
      <c r="H41" s="29">
        <v>0</v>
      </c>
      <c r="I41" s="21">
        <v>0</v>
      </c>
      <c r="J41" s="21">
        <f t="shared" si="1"/>
        <v>0</v>
      </c>
      <c r="K41" s="29">
        <v>0</v>
      </c>
      <c r="L41" s="21">
        <f t="shared" si="13"/>
        <v>0</v>
      </c>
      <c r="M41" s="29">
        <v>0</v>
      </c>
      <c r="N41" s="21">
        <f t="shared" si="3"/>
        <v>63000</v>
      </c>
      <c r="O41" s="29">
        <f t="shared" si="4"/>
        <v>100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1:27" ht="34.200000000000003" customHeight="1" x14ac:dyDescent="0.3">
      <c r="A42" s="39" t="s">
        <v>312</v>
      </c>
      <c r="B42" s="40" t="s">
        <v>313</v>
      </c>
      <c r="C42" s="55"/>
      <c r="D42" s="62"/>
      <c r="E42" s="21">
        <v>2800000</v>
      </c>
      <c r="F42" s="21">
        <v>500000</v>
      </c>
      <c r="G42" s="21">
        <v>0</v>
      </c>
      <c r="H42" s="29">
        <f t="shared" si="6"/>
        <v>0</v>
      </c>
      <c r="I42" s="21">
        <v>0</v>
      </c>
      <c r="J42" s="21">
        <f t="shared" si="1"/>
        <v>0</v>
      </c>
      <c r="K42" s="29">
        <f t="shared" ref="K42:K44" si="17">J42/F42*100</f>
        <v>0</v>
      </c>
      <c r="L42" s="21">
        <f t="shared" si="13"/>
        <v>500000</v>
      </c>
      <c r="M42" s="29">
        <f t="shared" si="14"/>
        <v>100</v>
      </c>
      <c r="N42" s="21">
        <f t="shared" si="3"/>
        <v>2800000</v>
      </c>
      <c r="O42" s="29">
        <f t="shared" si="4"/>
        <v>100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</row>
    <row r="43" spans="1:27" ht="27.6" customHeight="1" x14ac:dyDescent="0.3">
      <c r="A43" s="39" t="s">
        <v>32</v>
      </c>
      <c r="B43" s="40" t="s">
        <v>16</v>
      </c>
      <c r="C43" s="55"/>
      <c r="D43" s="62"/>
      <c r="E43" s="21">
        <v>2400000</v>
      </c>
      <c r="F43" s="21">
        <v>0</v>
      </c>
      <c r="G43" s="21">
        <v>0</v>
      </c>
      <c r="H43" s="29">
        <v>0</v>
      </c>
      <c r="I43" s="21">
        <v>0</v>
      </c>
      <c r="J43" s="21">
        <f t="shared" si="1"/>
        <v>0</v>
      </c>
      <c r="K43" s="29">
        <v>0</v>
      </c>
      <c r="L43" s="21">
        <f t="shared" si="13"/>
        <v>0</v>
      </c>
      <c r="M43" s="29">
        <v>0</v>
      </c>
      <c r="N43" s="21">
        <f t="shared" si="3"/>
        <v>2400000</v>
      </c>
      <c r="O43" s="29">
        <f t="shared" si="4"/>
        <v>100</v>
      </c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1:27" ht="27.6" customHeight="1" x14ac:dyDescent="0.3">
      <c r="A44" s="39" t="s">
        <v>35</v>
      </c>
      <c r="B44" s="40" t="s">
        <v>63</v>
      </c>
      <c r="C44" s="40"/>
      <c r="D44" s="51"/>
      <c r="E44" s="21">
        <v>2670000</v>
      </c>
      <c r="F44" s="21">
        <f>2670000</f>
        <v>2670000</v>
      </c>
      <c r="G44" s="21">
        <v>0</v>
      </c>
      <c r="H44" s="29">
        <f t="shared" si="6"/>
        <v>0</v>
      </c>
      <c r="I44" s="21">
        <v>0</v>
      </c>
      <c r="J44" s="21">
        <f t="shared" si="1"/>
        <v>0</v>
      </c>
      <c r="K44" s="29">
        <f t="shared" si="17"/>
        <v>0</v>
      </c>
      <c r="L44" s="21">
        <f t="shared" si="13"/>
        <v>2670000</v>
      </c>
      <c r="M44" s="29">
        <f t="shared" si="14"/>
        <v>100</v>
      </c>
      <c r="N44" s="21">
        <f t="shared" si="3"/>
        <v>2670000</v>
      </c>
      <c r="O44" s="29">
        <f t="shared" si="4"/>
        <v>100</v>
      </c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1:27" ht="24" customHeight="1" x14ac:dyDescent="0.3">
      <c r="A45" s="57"/>
      <c r="B45" s="40"/>
      <c r="C45" s="12"/>
      <c r="D45" s="12"/>
      <c r="E45" s="21"/>
      <c r="F45" s="21"/>
      <c r="G45" s="19"/>
      <c r="H45" s="28"/>
      <c r="I45" s="19"/>
      <c r="J45" s="19"/>
      <c r="K45" s="28"/>
      <c r="L45" s="19"/>
      <c r="M45" s="28"/>
      <c r="N45" s="19"/>
      <c r="O45" s="28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1:27" ht="42.6" customHeight="1" x14ac:dyDescent="0.3">
      <c r="A46" s="86" t="s">
        <v>108</v>
      </c>
      <c r="B46" s="10" t="s">
        <v>40</v>
      </c>
      <c r="C46" s="4" t="s">
        <v>164</v>
      </c>
      <c r="D46" s="52" t="s">
        <v>15</v>
      </c>
      <c r="E46" s="16">
        <f>E47+E135+E141</f>
        <v>13244464860</v>
      </c>
      <c r="F46" s="16">
        <f>F47+F135+F141</f>
        <v>7035918324</v>
      </c>
      <c r="G46" s="16">
        <f>G47+G135+G141</f>
        <v>4879784079</v>
      </c>
      <c r="H46" s="27">
        <f t="shared" ref="H46:H128" si="18">G46/F46*100</f>
        <v>69.355325833654462</v>
      </c>
      <c r="I46" s="16">
        <f>I47+I135+I141</f>
        <v>583976616</v>
      </c>
      <c r="J46" s="16">
        <f>J47+J135+J141</f>
        <v>5463760695</v>
      </c>
      <c r="K46" s="27">
        <f t="shared" ref="K46:K128" si="19">J46/F46*100</f>
        <v>77.655260385310868</v>
      </c>
      <c r="L46" s="16">
        <f>F46-J46</f>
        <v>1572157629</v>
      </c>
      <c r="M46" s="27">
        <f t="shared" ref="M46:M62" si="20">L46/F46*100</f>
        <v>22.344739614689139</v>
      </c>
      <c r="N46" s="16">
        <f t="shared" si="3"/>
        <v>7780704165</v>
      </c>
      <c r="O46" s="27">
        <f t="shared" si="4"/>
        <v>58.746836865404319</v>
      </c>
      <c r="P46" s="80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1:27" ht="24.75" customHeight="1" x14ac:dyDescent="0.3">
      <c r="A47" s="87" t="s">
        <v>109</v>
      </c>
      <c r="B47" s="11" t="s">
        <v>41</v>
      </c>
      <c r="C47" s="12"/>
      <c r="D47" s="15"/>
      <c r="E47" s="19">
        <f t="shared" ref="E47:F48" si="21">E48</f>
        <v>13119913860</v>
      </c>
      <c r="F47" s="19">
        <f t="shared" si="21"/>
        <v>7006979324</v>
      </c>
      <c r="G47" s="19">
        <f>G48</f>
        <v>4879784079</v>
      </c>
      <c r="H47" s="28">
        <f t="shared" si="18"/>
        <v>69.641765065382401</v>
      </c>
      <c r="I47" s="19">
        <f>I48</f>
        <v>562742116</v>
      </c>
      <c r="J47" s="19">
        <f>J48</f>
        <v>5442526195</v>
      </c>
      <c r="K47" s="28">
        <f t="shared" si="19"/>
        <v>77.672930707223529</v>
      </c>
      <c r="L47" s="19">
        <f>F47-J47</f>
        <v>1564453129</v>
      </c>
      <c r="M47" s="28">
        <f t="shared" si="20"/>
        <v>22.327069292776468</v>
      </c>
      <c r="N47" s="19">
        <f t="shared" si="3"/>
        <v>7677387665</v>
      </c>
      <c r="O47" s="28">
        <f t="shared" si="4"/>
        <v>58.517058472516524</v>
      </c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1:27" ht="22.95" customHeight="1" x14ac:dyDescent="0.3">
      <c r="A48" s="53" t="s">
        <v>167</v>
      </c>
      <c r="B48" s="54" t="s">
        <v>168</v>
      </c>
      <c r="C48" s="12"/>
      <c r="D48" s="15"/>
      <c r="E48" s="22">
        <f t="shared" si="21"/>
        <v>13119913860</v>
      </c>
      <c r="F48" s="22">
        <f t="shared" si="21"/>
        <v>7006979324</v>
      </c>
      <c r="G48" s="22">
        <f>G49</f>
        <v>4879784079</v>
      </c>
      <c r="H48" s="28">
        <f t="shared" si="18"/>
        <v>69.641765065382401</v>
      </c>
      <c r="I48" s="22">
        <f>I49</f>
        <v>562742116</v>
      </c>
      <c r="J48" s="19">
        <f>G48+I48</f>
        <v>5442526195</v>
      </c>
      <c r="K48" s="28">
        <f t="shared" si="19"/>
        <v>77.672930707223529</v>
      </c>
      <c r="L48" s="19">
        <f>F48-J48</f>
        <v>1564453129</v>
      </c>
      <c r="M48" s="28">
        <f t="shared" si="20"/>
        <v>22.327069292776468</v>
      </c>
      <c r="N48" s="19">
        <f t="shared" si="3"/>
        <v>7677387665</v>
      </c>
      <c r="O48" s="28">
        <f t="shared" si="4"/>
        <v>58.517058472516524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1:27" ht="22.95" customHeight="1" x14ac:dyDescent="0.3">
      <c r="A49" s="53" t="s">
        <v>165</v>
      </c>
      <c r="B49" s="54" t="s">
        <v>166</v>
      </c>
      <c r="C49" s="13"/>
      <c r="D49" s="15"/>
      <c r="E49" s="22">
        <f>E50+E63+E66+E100</f>
        <v>13119913860</v>
      </c>
      <c r="F49" s="22">
        <f>F50+F63+F66+F100</f>
        <v>7006979324</v>
      </c>
      <c r="G49" s="22">
        <f>G50+G63+G66+G100</f>
        <v>4879784079</v>
      </c>
      <c r="H49" s="28">
        <f t="shared" si="18"/>
        <v>69.641765065382401</v>
      </c>
      <c r="I49" s="22">
        <f>I50+I63+I66+I100</f>
        <v>562742116</v>
      </c>
      <c r="J49" s="19">
        <f>G49+I49</f>
        <v>5442526195</v>
      </c>
      <c r="K49" s="28">
        <f t="shared" si="19"/>
        <v>77.672930707223529</v>
      </c>
      <c r="L49" s="19">
        <f>F49-J49</f>
        <v>1564453129</v>
      </c>
      <c r="M49" s="28">
        <f t="shared" si="20"/>
        <v>22.327069292776468</v>
      </c>
      <c r="N49" s="19">
        <f t="shared" si="3"/>
        <v>7677387665</v>
      </c>
      <c r="O49" s="28">
        <f t="shared" si="4"/>
        <v>58.517058472516524</v>
      </c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ht="22.95" customHeight="1" x14ac:dyDescent="0.3">
      <c r="A50" s="53" t="s">
        <v>42</v>
      </c>
      <c r="B50" s="55" t="s">
        <v>43</v>
      </c>
      <c r="C50" s="13"/>
      <c r="D50" s="15"/>
      <c r="E50" s="22">
        <f>SUM(E51:E62)</f>
        <v>2031432884</v>
      </c>
      <c r="F50" s="22">
        <f>SUM(F51:F62)</f>
        <v>1015716442</v>
      </c>
      <c r="G50" s="22">
        <f>SUM(G51:G62)</f>
        <v>250461766</v>
      </c>
      <c r="H50" s="28">
        <f t="shared" si="18"/>
        <v>24.65863066141052</v>
      </c>
      <c r="I50" s="22">
        <f>SUM(I51:I62)</f>
        <v>284514143</v>
      </c>
      <c r="J50" s="19">
        <f>G50+I50</f>
        <v>534975909</v>
      </c>
      <c r="K50" s="28">
        <f t="shared" si="19"/>
        <v>52.669808903221437</v>
      </c>
      <c r="L50" s="22">
        <f t="shared" ref="L50:L62" si="22">F50-J50</f>
        <v>480740533</v>
      </c>
      <c r="M50" s="32">
        <f t="shared" si="20"/>
        <v>47.330191096778563</v>
      </c>
      <c r="N50" s="19">
        <f t="shared" si="3"/>
        <v>1496456975</v>
      </c>
      <c r="O50" s="28">
        <f t="shared" si="4"/>
        <v>73.665095548389274</v>
      </c>
      <c r="Q50" s="47"/>
      <c r="R50" s="47"/>
      <c r="S50" s="47"/>
      <c r="T50" s="47"/>
      <c r="U50" s="56"/>
      <c r="V50" s="47"/>
      <c r="W50" s="47"/>
      <c r="X50" s="47"/>
      <c r="Y50" s="47"/>
      <c r="Z50" s="47"/>
      <c r="AA50" s="47"/>
    </row>
    <row r="51" spans="1:27" ht="22.95" customHeight="1" x14ac:dyDescent="0.3">
      <c r="A51" s="39" t="s">
        <v>353</v>
      </c>
      <c r="B51" s="40" t="s">
        <v>347</v>
      </c>
      <c r="C51" s="40"/>
      <c r="D51" s="62"/>
      <c r="E51" s="21">
        <v>1489891656</v>
      </c>
      <c r="F51" s="93">
        <v>744945828</v>
      </c>
      <c r="G51" s="21">
        <f>87968300+3204700+456600+91310000</f>
        <v>182939600</v>
      </c>
      <c r="H51" s="29">
        <f t="shared" si="18"/>
        <v>24.557436678469458</v>
      </c>
      <c r="I51" s="21">
        <f>95253300+3204700+679600+14082300+95253300</f>
        <v>208473200</v>
      </c>
      <c r="J51" s="21">
        <f>G51+I51</f>
        <v>391412800</v>
      </c>
      <c r="K51" s="29">
        <f t="shared" si="19"/>
        <v>52.542451449234775</v>
      </c>
      <c r="L51" s="21">
        <f t="shared" si="22"/>
        <v>353533028</v>
      </c>
      <c r="M51" s="29">
        <f t="shared" si="20"/>
        <v>47.457548550765225</v>
      </c>
      <c r="N51" s="21">
        <f t="shared" si="3"/>
        <v>1098478856</v>
      </c>
      <c r="O51" s="29">
        <f t="shared" si="4"/>
        <v>73.728774275382619</v>
      </c>
      <c r="P51" s="80"/>
      <c r="Q51" s="47"/>
      <c r="R51" s="47"/>
      <c r="S51" s="47"/>
      <c r="T51" s="47"/>
      <c r="U51" s="56"/>
      <c r="V51" s="47"/>
      <c r="W51" s="47"/>
      <c r="X51" s="47"/>
      <c r="Y51" s="47"/>
      <c r="Z51" s="47"/>
      <c r="AA51" s="47"/>
    </row>
    <row r="52" spans="1:27" ht="22.95" customHeight="1" x14ac:dyDescent="0.3">
      <c r="A52" s="39" t="s">
        <v>354</v>
      </c>
      <c r="B52" s="40" t="s">
        <v>348</v>
      </c>
      <c r="C52" s="40">
        <f>8401780+3003606</f>
        <v>11405386</v>
      </c>
      <c r="D52" s="62"/>
      <c r="E52" s="21">
        <v>189125944</v>
      </c>
      <c r="F52" s="93">
        <v>94562972</v>
      </c>
      <c r="G52" s="21">
        <f>10528424+448658+63924+10996262</f>
        <v>22037268</v>
      </c>
      <c r="H52" s="29">
        <f t="shared" si="18"/>
        <v>23.304331001779428</v>
      </c>
      <c r="I52" s="21">
        <f>11405386+448658+95128+1685646+11405386</f>
        <v>25040204</v>
      </c>
      <c r="J52" s="21">
        <f t="shared" si="1"/>
        <v>47077472</v>
      </c>
      <c r="K52" s="29">
        <f t="shared" si="19"/>
        <v>49.784255934764829</v>
      </c>
      <c r="L52" s="21">
        <f t="shared" si="22"/>
        <v>47485500</v>
      </c>
      <c r="M52" s="29">
        <f t="shared" si="20"/>
        <v>50.215744065235178</v>
      </c>
      <c r="N52" s="21">
        <f t="shared" si="3"/>
        <v>142048472</v>
      </c>
      <c r="O52" s="29">
        <f t="shared" si="4"/>
        <v>75.107872032617578</v>
      </c>
      <c r="Q52" s="47"/>
      <c r="R52" s="47"/>
      <c r="S52" s="47"/>
      <c r="T52" s="47"/>
      <c r="U52" s="56"/>
      <c r="V52" s="47"/>
      <c r="W52" s="47"/>
      <c r="X52" s="47"/>
      <c r="Y52" s="47"/>
      <c r="Z52" s="47"/>
      <c r="AA52" s="47"/>
    </row>
    <row r="53" spans="1:27" ht="22.95" customHeight="1" x14ac:dyDescent="0.3">
      <c r="A53" s="39" t="s">
        <v>355</v>
      </c>
      <c r="B53" s="40" t="s">
        <v>349</v>
      </c>
      <c r="C53" s="55"/>
      <c r="D53" s="62"/>
      <c r="E53" s="21">
        <v>147630000</v>
      </c>
      <c r="F53" s="93">
        <v>73815000</v>
      </c>
      <c r="G53" s="21">
        <f>10545000+10545000</f>
        <v>21090000</v>
      </c>
      <c r="H53" s="29">
        <f t="shared" si="18"/>
        <v>28.571428571428569</v>
      </c>
      <c r="I53" s="21">
        <f>10545000+10545000</f>
        <v>21090000</v>
      </c>
      <c r="J53" s="21">
        <f t="shared" si="1"/>
        <v>42180000</v>
      </c>
      <c r="K53" s="29">
        <f t="shared" si="19"/>
        <v>57.142857142857139</v>
      </c>
      <c r="L53" s="21">
        <f t="shared" si="22"/>
        <v>31635000</v>
      </c>
      <c r="M53" s="29">
        <f t="shared" si="20"/>
        <v>42.857142857142854</v>
      </c>
      <c r="N53" s="21">
        <f t="shared" si="3"/>
        <v>105450000</v>
      </c>
      <c r="O53" s="29">
        <f t="shared" si="4"/>
        <v>71.428571428571431</v>
      </c>
      <c r="Q53" s="47"/>
      <c r="R53" s="47"/>
      <c r="S53" s="47"/>
      <c r="T53" s="47"/>
      <c r="U53" s="56"/>
      <c r="V53" s="47"/>
      <c r="W53" s="47"/>
      <c r="X53" s="47"/>
      <c r="Y53" s="47"/>
      <c r="Z53" s="47"/>
      <c r="AA53" s="47"/>
    </row>
    <row r="54" spans="1:27" ht="22.95" customHeight="1" x14ac:dyDescent="0.3">
      <c r="A54" s="39" t="s">
        <v>356</v>
      </c>
      <c r="B54" s="40" t="s">
        <v>350</v>
      </c>
      <c r="C54" s="55"/>
      <c r="D54" s="62"/>
      <c r="E54" s="21">
        <v>38710000</v>
      </c>
      <c r="F54" s="93">
        <v>19355000</v>
      </c>
      <c r="G54" s="21">
        <f>2210000+185000+2395000</f>
        <v>4790000</v>
      </c>
      <c r="H54" s="29">
        <f t="shared" si="18"/>
        <v>24.748127098940842</v>
      </c>
      <c r="I54" s="21">
        <f>2210000+185000+2210000</f>
        <v>4605000</v>
      </c>
      <c r="J54" s="21">
        <f t="shared" si="1"/>
        <v>9395000</v>
      </c>
      <c r="K54" s="29">
        <f t="shared" si="19"/>
        <v>48.540428829759755</v>
      </c>
      <c r="L54" s="21">
        <f t="shared" si="22"/>
        <v>9960000</v>
      </c>
      <c r="M54" s="29">
        <f t="shared" si="20"/>
        <v>51.459571170240245</v>
      </c>
      <c r="N54" s="21">
        <f t="shared" si="3"/>
        <v>29315000</v>
      </c>
      <c r="O54" s="29">
        <f t="shared" si="4"/>
        <v>75.729785585120126</v>
      </c>
      <c r="Q54" s="47"/>
      <c r="R54" s="47"/>
      <c r="S54" s="47"/>
      <c r="T54" s="47"/>
      <c r="U54" s="56"/>
      <c r="V54" s="47"/>
      <c r="W54" s="47"/>
      <c r="X54" s="47"/>
      <c r="Y54" s="47"/>
      <c r="Z54" s="47"/>
      <c r="AA54" s="47"/>
    </row>
    <row r="55" spans="1:27" ht="22.95" customHeight="1" x14ac:dyDescent="0.3">
      <c r="A55" s="39" t="s">
        <v>357</v>
      </c>
      <c r="B55" s="40" t="s">
        <v>351</v>
      </c>
      <c r="C55" s="55"/>
      <c r="D55" s="62"/>
      <c r="E55" s="21">
        <v>102401880</v>
      </c>
      <c r="F55" s="93">
        <v>51200940</v>
      </c>
      <c r="G55" s="21">
        <f>6228120+289680+6517800</f>
        <v>13035600</v>
      </c>
      <c r="H55" s="29">
        <f t="shared" si="18"/>
        <v>25.459688826025463</v>
      </c>
      <c r="I55" s="21">
        <f>6228120+289680+6228120</f>
        <v>12745920</v>
      </c>
      <c r="J55" s="21">
        <f>G55+I55</f>
        <v>25781520</v>
      </c>
      <c r="K55" s="29">
        <f t="shared" si="19"/>
        <v>50.35360678925035</v>
      </c>
      <c r="L55" s="21">
        <f t="shared" si="22"/>
        <v>25419420</v>
      </c>
      <c r="M55" s="29">
        <f t="shared" si="20"/>
        <v>49.646393210749643</v>
      </c>
      <c r="N55" s="21">
        <f t="shared" si="3"/>
        <v>76620360</v>
      </c>
      <c r="O55" s="29">
        <f t="shared" si="4"/>
        <v>74.823196605374818</v>
      </c>
      <c r="Q55" s="47"/>
      <c r="R55" s="47"/>
      <c r="S55" s="47"/>
      <c r="T55" s="47"/>
      <c r="U55" s="56"/>
      <c r="V55" s="47"/>
      <c r="W55" s="47"/>
      <c r="X55" s="47"/>
      <c r="Y55" s="47"/>
      <c r="Z55" s="47"/>
      <c r="AA55" s="47"/>
    </row>
    <row r="56" spans="1:27" ht="22.95" customHeight="1" x14ac:dyDescent="0.3">
      <c r="A56" s="39" t="s">
        <v>358</v>
      </c>
      <c r="B56" s="40" t="s">
        <v>352</v>
      </c>
      <c r="C56" s="55"/>
      <c r="D56" s="62"/>
      <c r="E56" s="21">
        <v>4694428</v>
      </c>
      <c r="F56" s="93">
        <v>2347214</v>
      </c>
      <c r="G56" s="21">
        <f>59417+59417</f>
        <v>118834</v>
      </c>
      <c r="H56" s="29">
        <f t="shared" si="18"/>
        <v>5.0627680305246985</v>
      </c>
      <c r="I56" s="21">
        <f>126365+133896+5085413</f>
        <v>5345674</v>
      </c>
      <c r="J56" s="21">
        <f t="shared" si="1"/>
        <v>5464508</v>
      </c>
      <c r="K56" s="29">
        <f t="shared" si="19"/>
        <v>232.80825693779943</v>
      </c>
      <c r="L56" s="100">
        <f t="shared" si="22"/>
        <v>-3117294</v>
      </c>
      <c r="M56" s="101">
        <f t="shared" si="20"/>
        <v>-132.80825693779946</v>
      </c>
      <c r="N56" s="100">
        <f t="shared" si="3"/>
        <v>-770080</v>
      </c>
      <c r="O56" s="101">
        <f t="shared" si="4"/>
        <v>-16.404128468899724</v>
      </c>
      <c r="Q56" s="47"/>
      <c r="R56" s="47"/>
      <c r="S56" s="47"/>
      <c r="T56" s="47"/>
      <c r="U56" s="56"/>
      <c r="V56" s="47"/>
      <c r="W56" s="47"/>
      <c r="X56" s="47"/>
      <c r="Y56" s="47"/>
      <c r="Z56" s="47"/>
      <c r="AA56" s="47"/>
    </row>
    <row r="57" spans="1:27" ht="22.95" customHeight="1" x14ac:dyDescent="0.3">
      <c r="A57" s="39" t="s">
        <v>359</v>
      </c>
      <c r="B57" s="40" t="s">
        <v>44</v>
      </c>
      <c r="C57" s="55"/>
      <c r="D57" s="62"/>
      <c r="E57" s="21">
        <v>17192</v>
      </c>
      <c r="F57" s="93">
        <v>8596</v>
      </c>
      <c r="G57" s="21">
        <f>1211+46+23+1332</f>
        <v>2612</v>
      </c>
      <c r="H57" s="29">
        <f t="shared" si="18"/>
        <v>30.386226151698466</v>
      </c>
      <c r="I57" s="21">
        <f>1324+46+52+1194</f>
        <v>2616</v>
      </c>
      <c r="J57" s="21">
        <f t="shared" si="1"/>
        <v>5228</v>
      </c>
      <c r="K57" s="29">
        <f t="shared" si="19"/>
        <v>60.818985574685904</v>
      </c>
      <c r="L57" s="21">
        <f t="shared" si="22"/>
        <v>3368</v>
      </c>
      <c r="M57" s="29">
        <f t="shared" si="20"/>
        <v>39.181014425314096</v>
      </c>
      <c r="N57" s="21">
        <f t="shared" si="3"/>
        <v>11964</v>
      </c>
      <c r="O57" s="29">
        <f t="shared" si="4"/>
        <v>69.590507212657045</v>
      </c>
      <c r="Q57" s="47"/>
      <c r="R57" s="47"/>
      <c r="S57" s="47"/>
      <c r="T57" s="47"/>
      <c r="U57" s="56"/>
      <c r="V57" s="47"/>
      <c r="W57" s="47"/>
      <c r="X57" s="47"/>
      <c r="Y57" s="47"/>
      <c r="Z57" s="47"/>
      <c r="AA57" s="47"/>
    </row>
    <row r="58" spans="1:27" ht="22.95" customHeight="1" x14ac:dyDescent="0.3">
      <c r="A58" s="39" t="s">
        <v>360</v>
      </c>
      <c r="B58" s="40" t="s">
        <v>361</v>
      </c>
      <c r="C58" s="40"/>
      <c r="D58" s="62"/>
      <c r="E58" s="21">
        <v>41531000</v>
      </c>
      <c r="F58" s="93">
        <v>20765500</v>
      </c>
      <c r="G58" s="21">
        <f>2966500+2966500</f>
        <v>5933000</v>
      </c>
      <c r="H58" s="29">
        <f t="shared" si="18"/>
        <v>28.571428571428569</v>
      </c>
      <c r="I58" s="21">
        <f>3203600+474200+3203600</f>
        <v>6881400</v>
      </c>
      <c r="J58" s="21">
        <f>G58+I58</f>
        <v>12814400</v>
      </c>
      <c r="K58" s="29">
        <f t="shared" si="19"/>
        <v>61.710047916014545</v>
      </c>
      <c r="L58" s="21">
        <f t="shared" si="22"/>
        <v>7951100</v>
      </c>
      <c r="M58" s="29">
        <f t="shared" si="20"/>
        <v>38.289952083985455</v>
      </c>
      <c r="N58" s="21">
        <f t="shared" si="3"/>
        <v>28716600</v>
      </c>
      <c r="O58" s="29">
        <f t="shared" si="4"/>
        <v>69.14497604199272</v>
      </c>
      <c r="Q58" s="47"/>
      <c r="R58" s="47"/>
      <c r="S58" s="47"/>
      <c r="T58" s="47"/>
      <c r="U58" s="56"/>
      <c r="V58" s="47"/>
      <c r="W58" s="47"/>
      <c r="X58" s="47"/>
      <c r="Y58" s="47"/>
      <c r="Z58" s="47"/>
      <c r="AA58" s="47"/>
    </row>
    <row r="59" spans="1:27" ht="22.95" customHeight="1" x14ac:dyDescent="0.3">
      <c r="A59" s="39" t="s">
        <v>362</v>
      </c>
      <c r="B59" s="40" t="s">
        <v>366</v>
      </c>
      <c r="C59" s="40"/>
      <c r="D59" s="62"/>
      <c r="E59" s="21">
        <v>5814340</v>
      </c>
      <c r="F59" s="93">
        <v>2907170</v>
      </c>
      <c r="G59" s="21">
        <v>0</v>
      </c>
      <c r="H59" s="29">
        <f t="shared" si="18"/>
        <v>0</v>
      </c>
      <c r="I59" s="21">
        <v>0</v>
      </c>
      <c r="J59" s="21">
        <f t="shared" ref="J59:J60" si="23">G59+I59</f>
        <v>0</v>
      </c>
      <c r="K59" s="29">
        <f t="shared" si="19"/>
        <v>0</v>
      </c>
      <c r="L59" s="21">
        <f t="shared" si="22"/>
        <v>2907170</v>
      </c>
      <c r="M59" s="29">
        <f t="shared" si="20"/>
        <v>100</v>
      </c>
      <c r="N59" s="21">
        <f t="shared" si="3"/>
        <v>5814340</v>
      </c>
      <c r="O59" s="29">
        <f t="shared" si="4"/>
        <v>100</v>
      </c>
      <c r="Q59" s="47"/>
      <c r="R59" s="47"/>
      <c r="S59" s="47"/>
      <c r="T59" s="47"/>
      <c r="U59" s="56"/>
      <c r="V59" s="47"/>
      <c r="W59" s="47"/>
      <c r="X59" s="47"/>
      <c r="Y59" s="47"/>
      <c r="Z59" s="47"/>
      <c r="AA59" s="47"/>
    </row>
    <row r="60" spans="1:27" ht="22.95" customHeight="1" x14ac:dyDescent="0.3">
      <c r="A60" s="39" t="s">
        <v>363</v>
      </c>
      <c r="B60" s="40" t="s">
        <v>369</v>
      </c>
      <c r="C60" s="55"/>
      <c r="D60" s="62"/>
      <c r="E60" s="21">
        <v>7560000</v>
      </c>
      <c r="F60" s="93">
        <v>3780000</v>
      </c>
      <c r="G60" s="21">
        <f>185000+185000</f>
        <v>370000</v>
      </c>
      <c r="H60" s="29">
        <f t="shared" si="18"/>
        <v>9.7883597883597879</v>
      </c>
      <c r="I60" s="21">
        <f>185000</f>
        <v>185000</v>
      </c>
      <c r="J60" s="21">
        <f t="shared" si="23"/>
        <v>555000</v>
      </c>
      <c r="K60" s="29">
        <f t="shared" si="19"/>
        <v>14.682539682539684</v>
      </c>
      <c r="L60" s="21">
        <f t="shared" si="22"/>
        <v>3225000</v>
      </c>
      <c r="M60" s="29">
        <f t="shared" si="20"/>
        <v>85.317460317460316</v>
      </c>
      <c r="N60" s="21">
        <f t="shared" si="3"/>
        <v>7005000</v>
      </c>
      <c r="O60" s="29">
        <f t="shared" si="4"/>
        <v>92.658730158730165</v>
      </c>
      <c r="Q60" s="47"/>
      <c r="R60" s="47"/>
      <c r="S60" s="47"/>
      <c r="T60" s="47"/>
      <c r="U60" s="56"/>
      <c r="V60" s="47"/>
      <c r="W60" s="47"/>
      <c r="X60" s="47"/>
      <c r="Y60" s="47"/>
      <c r="Z60" s="47"/>
      <c r="AA60" s="47"/>
    </row>
    <row r="61" spans="1:27" ht="22.95" customHeight="1" x14ac:dyDescent="0.3">
      <c r="A61" s="39" t="s">
        <v>364</v>
      </c>
      <c r="B61" s="40" t="s">
        <v>367</v>
      </c>
      <c r="C61" s="55"/>
      <c r="D61" s="62"/>
      <c r="E61" s="21">
        <v>4055520</v>
      </c>
      <c r="F61" s="93">
        <v>2027760</v>
      </c>
      <c r="G61" s="21">
        <f>72420+72420</f>
        <v>144840</v>
      </c>
      <c r="H61" s="29">
        <f t="shared" si="18"/>
        <v>7.1428571428571423</v>
      </c>
      <c r="I61" s="21">
        <f>72420+72420</f>
        <v>144840</v>
      </c>
      <c r="J61" s="21">
        <f>G61+I61</f>
        <v>289680</v>
      </c>
      <c r="K61" s="29">
        <f t="shared" si="19"/>
        <v>14.285714285714285</v>
      </c>
      <c r="L61" s="21">
        <f t="shared" si="22"/>
        <v>1738080</v>
      </c>
      <c r="M61" s="29">
        <f t="shared" si="20"/>
        <v>85.714285714285708</v>
      </c>
      <c r="N61" s="21">
        <f t="shared" si="3"/>
        <v>3765840</v>
      </c>
      <c r="O61" s="29">
        <f t="shared" si="4"/>
        <v>92.857142857142861</v>
      </c>
      <c r="Q61" s="47"/>
      <c r="R61" s="47"/>
      <c r="S61" s="47"/>
      <c r="T61" s="47"/>
      <c r="U61" s="56"/>
      <c r="V61" s="47"/>
      <c r="W61" s="47"/>
      <c r="X61" s="47"/>
      <c r="Y61" s="47"/>
      <c r="Z61" s="47"/>
      <c r="AA61" s="47"/>
    </row>
    <row r="62" spans="1:27" ht="22.95" customHeight="1" x14ac:dyDescent="0.3">
      <c r="A62" s="39" t="s">
        <v>365</v>
      </c>
      <c r="B62" s="40" t="s">
        <v>368</v>
      </c>
      <c r="C62" s="55"/>
      <c r="D62" s="62"/>
      <c r="E62" s="21">
        <v>924</v>
      </c>
      <c r="F62" s="93">
        <v>462</v>
      </c>
      <c r="G62" s="21">
        <f>6+6</f>
        <v>12</v>
      </c>
      <c r="H62" s="29">
        <f t="shared" si="18"/>
        <v>2.5974025974025974</v>
      </c>
      <c r="I62" s="21">
        <f>83+154+52</f>
        <v>289</v>
      </c>
      <c r="J62" s="21">
        <f>G62+I62</f>
        <v>301</v>
      </c>
      <c r="K62" s="29">
        <f t="shared" si="19"/>
        <v>65.151515151515156</v>
      </c>
      <c r="L62" s="21">
        <f t="shared" si="22"/>
        <v>161</v>
      </c>
      <c r="M62" s="29">
        <f t="shared" si="20"/>
        <v>34.848484848484851</v>
      </c>
      <c r="N62" s="21">
        <f t="shared" si="3"/>
        <v>623</v>
      </c>
      <c r="O62" s="29">
        <f t="shared" si="4"/>
        <v>67.424242424242422</v>
      </c>
      <c r="Q62" s="47"/>
      <c r="R62" s="47"/>
      <c r="S62" s="47"/>
      <c r="T62" s="47"/>
      <c r="U62" s="56"/>
      <c r="V62" s="47"/>
      <c r="W62" s="47"/>
      <c r="X62" s="47"/>
      <c r="Y62" s="47"/>
      <c r="Z62" s="47"/>
      <c r="AA62" s="47"/>
    </row>
    <row r="63" spans="1:27" ht="22.95" customHeight="1" x14ac:dyDescent="0.3">
      <c r="A63" s="53" t="s">
        <v>45</v>
      </c>
      <c r="B63" s="55" t="s">
        <v>371</v>
      </c>
      <c r="C63" s="12"/>
      <c r="D63" s="15"/>
      <c r="E63" s="22">
        <f>SUM(E64:E65)</f>
        <v>1365415000</v>
      </c>
      <c r="F63" s="22">
        <f>SUM(F64:F65)</f>
        <v>682707500</v>
      </c>
      <c r="G63" s="22">
        <f>SUM(G64:G65)</f>
        <v>0</v>
      </c>
      <c r="H63" s="28">
        <f t="shared" si="18"/>
        <v>0</v>
      </c>
      <c r="I63" s="22">
        <f>SUM(I64:I65)</f>
        <v>278227973</v>
      </c>
      <c r="J63" s="19">
        <f t="shared" si="1"/>
        <v>278227973</v>
      </c>
      <c r="K63" s="28">
        <f t="shared" si="19"/>
        <v>40.753613077342784</v>
      </c>
      <c r="L63" s="19">
        <f>F63-J63</f>
        <v>404479527</v>
      </c>
      <c r="M63" s="28">
        <f>L63/F63*100</f>
        <v>59.246386922657216</v>
      </c>
      <c r="N63" s="19">
        <f t="shared" si="3"/>
        <v>1087187027</v>
      </c>
      <c r="O63" s="28">
        <f t="shared" si="4"/>
        <v>79.623193461328611</v>
      </c>
      <c r="Q63" s="47"/>
      <c r="R63" s="47"/>
      <c r="S63" s="47"/>
      <c r="T63" s="47"/>
      <c r="U63" s="56"/>
      <c r="V63" s="47"/>
      <c r="W63" s="47"/>
      <c r="X63" s="47"/>
      <c r="Y63" s="47"/>
      <c r="Z63" s="47"/>
      <c r="AA63" s="47"/>
    </row>
    <row r="64" spans="1:27" ht="22.95" customHeight="1" x14ac:dyDescent="0.3">
      <c r="A64" s="57" t="s">
        <v>370</v>
      </c>
      <c r="B64" s="13" t="s">
        <v>372</v>
      </c>
      <c r="C64" s="12"/>
      <c r="D64" s="15"/>
      <c r="E64" s="14">
        <v>1356315000</v>
      </c>
      <c r="F64" s="92">
        <v>678157500</v>
      </c>
      <c r="G64" s="14">
        <v>0</v>
      </c>
      <c r="H64" s="30">
        <f t="shared" si="18"/>
        <v>0</v>
      </c>
      <c r="I64" s="14">
        <f>184737973+93490000</f>
        <v>278227973</v>
      </c>
      <c r="J64" s="14">
        <f t="shared" si="1"/>
        <v>278227973</v>
      </c>
      <c r="K64" s="30">
        <f t="shared" si="19"/>
        <v>41.027043570262073</v>
      </c>
      <c r="L64" s="14">
        <f>F64-J64</f>
        <v>399929527</v>
      </c>
      <c r="M64" s="30">
        <f>L64/F64*100</f>
        <v>58.972956429737934</v>
      </c>
      <c r="N64" s="14">
        <f t="shared" si="3"/>
        <v>1078087027</v>
      </c>
      <c r="O64" s="30">
        <f t="shared" si="4"/>
        <v>79.486478214868967</v>
      </c>
      <c r="Q64" s="47"/>
      <c r="R64" s="47"/>
      <c r="S64" s="46"/>
      <c r="T64" s="46"/>
      <c r="U64" s="56"/>
      <c r="V64" s="47"/>
      <c r="W64" s="46"/>
      <c r="X64" s="47"/>
      <c r="Y64" s="47"/>
      <c r="Z64" s="46"/>
      <c r="AA64" s="47"/>
    </row>
    <row r="65" spans="1:28" ht="22.95" customHeight="1" x14ac:dyDescent="0.3">
      <c r="A65" s="57" t="s">
        <v>373</v>
      </c>
      <c r="B65" s="13" t="s">
        <v>374</v>
      </c>
      <c r="C65" s="12"/>
      <c r="D65" s="15"/>
      <c r="E65" s="14">
        <v>9100000</v>
      </c>
      <c r="F65" s="92">
        <v>4550000</v>
      </c>
      <c r="G65" s="14">
        <v>0</v>
      </c>
      <c r="H65" s="30">
        <f t="shared" si="18"/>
        <v>0</v>
      </c>
      <c r="I65" s="14">
        <v>0</v>
      </c>
      <c r="J65" s="14">
        <f t="shared" si="1"/>
        <v>0</v>
      </c>
      <c r="K65" s="30">
        <f t="shared" si="19"/>
        <v>0</v>
      </c>
      <c r="L65" s="14">
        <f>F65-J65</f>
        <v>4550000</v>
      </c>
      <c r="M65" s="30">
        <f>L65/F65*100</f>
        <v>100</v>
      </c>
      <c r="N65" s="14">
        <f t="shared" si="3"/>
        <v>9100000</v>
      </c>
      <c r="O65" s="30">
        <f t="shared" si="4"/>
        <v>100</v>
      </c>
      <c r="Q65" s="47"/>
      <c r="R65" s="47"/>
      <c r="S65" s="46"/>
      <c r="T65" s="46"/>
      <c r="U65" s="56"/>
      <c r="V65" s="47"/>
      <c r="W65" s="46"/>
      <c r="X65" s="47"/>
      <c r="Y65" s="47"/>
      <c r="Z65" s="46"/>
      <c r="AA65" s="47"/>
    </row>
    <row r="66" spans="1:28" ht="39" customHeight="1" x14ac:dyDescent="0.3">
      <c r="A66" s="53" t="s">
        <v>169</v>
      </c>
      <c r="B66" s="55" t="s">
        <v>170</v>
      </c>
      <c r="C66" s="12"/>
      <c r="D66" s="15"/>
      <c r="E66" s="22">
        <f>E67+E79</f>
        <v>8756816954</v>
      </c>
      <c r="F66" s="22">
        <f>F67+F79</f>
        <v>4923862664</v>
      </c>
      <c r="G66" s="22">
        <f>G67+G79</f>
        <v>4295891033</v>
      </c>
      <c r="H66" s="28">
        <f t="shared" si="18"/>
        <v>87.246361772205589</v>
      </c>
      <c r="I66" s="22">
        <f>I67+I79</f>
        <v>0</v>
      </c>
      <c r="J66" s="20">
        <f t="shared" si="1"/>
        <v>4295891033</v>
      </c>
      <c r="K66" s="28">
        <f t="shared" si="19"/>
        <v>87.246361772205589</v>
      </c>
      <c r="L66" s="22">
        <f t="shared" ref="L66:L76" si="24">F66-J66</f>
        <v>627971631</v>
      </c>
      <c r="M66" s="32">
        <f t="shared" ref="M66:M76" si="25">L66/F66*100</f>
        <v>12.753638227794406</v>
      </c>
      <c r="N66" s="20">
        <f t="shared" si="3"/>
        <v>4460925921</v>
      </c>
      <c r="O66" s="31">
        <f t="shared" si="4"/>
        <v>50.94232235792375</v>
      </c>
      <c r="P66" s="58"/>
      <c r="Q66" s="47"/>
      <c r="R66" s="47"/>
      <c r="S66" s="47"/>
      <c r="T66" s="47"/>
      <c r="U66" s="56"/>
      <c r="V66" s="47"/>
      <c r="W66" s="47"/>
      <c r="X66" s="47"/>
      <c r="Y66" s="47"/>
      <c r="Z66" s="47"/>
      <c r="AA66" s="47"/>
    </row>
    <row r="67" spans="1:28" ht="33.75" customHeight="1" x14ac:dyDescent="0.3">
      <c r="A67" s="53" t="s">
        <v>171</v>
      </c>
      <c r="B67" s="55" t="s">
        <v>172</v>
      </c>
      <c r="C67" s="12"/>
      <c r="D67" s="15"/>
      <c r="E67" s="22">
        <f>SUM(E68:E78)</f>
        <v>8484286669</v>
      </c>
      <c r="F67" s="22">
        <f>SUM(F68:F78)</f>
        <v>4813309250</v>
      </c>
      <c r="G67" s="22">
        <f>SUM(G68:G78)</f>
        <v>4295891033</v>
      </c>
      <c r="H67" s="28">
        <f t="shared" si="18"/>
        <v>89.250260265325778</v>
      </c>
      <c r="I67" s="22">
        <f>SUM(I68:I78)</f>
        <v>0</v>
      </c>
      <c r="J67" s="19">
        <f t="shared" si="1"/>
        <v>4295891033</v>
      </c>
      <c r="K67" s="28">
        <f t="shared" si="19"/>
        <v>89.250260265325778</v>
      </c>
      <c r="L67" s="22">
        <f t="shared" si="24"/>
        <v>517418217</v>
      </c>
      <c r="M67" s="32">
        <f t="shared" si="25"/>
        <v>10.749739734674227</v>
      </c>
      <c r="N67" s="19">
        <f t="shared" si="3"/>
        <v>4188395636</v>
      </c>
      <c r="O67" s="28">
        <f t="shared" si="4"/>
        <v>49.366503035589496</v>
      </c>
      <c r="Q67" s="47"/>
      <c r="R67" s="47"/>
      <c r="S67" s="47"/>
      <c r="T67" s="47"/>
      <c r="U67" s="56"/>
      <c r="V67" s="47"/>
      <c r="W67" s="47"/>
      <c r="X67" s="47"/>
      <c r="Y67" s="47"/>
      <c r="Z67" s="47"/>
      <c r="AA67" s="47"/>
    </row>
    <row r="68" spans="1:28" ht="33.75" customHeight="1" x14ac:dyDescent="0.3">
      <c r="A68" s="39" t="s">
        <v>173</v>
      </c>
      <c r="B68" s="40" t="s">
        <v>174</v>
      </c>
      <c r="C68" s="55"/>
      <c r="D68" s="62"/>
      <c r="E68" s="21">
        <v>95180997</v>
      </c>
      <c r="F68" s="93">
        <v>44343497</v>
      </c>
      <c r="G68" s="21">
        <v>13038278</v>
      </c>
      <c r="H68" s="29">
        <f t="shared" si="18"/>
        <v>29.402908841402382</v>
      </c>
      <c r="I68" s="21">
        <v>0</v>
      </c>
      <c r="J68" s="21">
        <f t="shared" si="1"/>
        <v>13038278</v>
      </c>
      <c r="K68" s="29">
        <f t="shared" si="19"/>
        <v>29.402908841402382</v>
      </c>
      <c r="L68" s="21">
        <f t="shared" si="24"/>
        <v>31305219</v>
      </c>
      <c r="M68" s="29">
        <f t="shared" si="25"/>
        <v>70.597091158597607</v>
      </c>
      <c r="N68" s="21">
        <f t="shared" si="3"/>
        <v>82142719</v>
      </c>
      <c r="O68" s="29">
        <f t="shared" si="4"/>
        <v>86.301595474987508</v>
      </c>
      <c r="Q68" s="47"/>
      <c r="R68" s="47"/>
      <c r="S68" s="47"/>
      <c r="T68" s="47"/>
      <c r="U68" s="56"/>
      <c r="V68" s="47"/>
      <c r="W68" s="47"/>
      <c r="X68" s="47"/>
      <c r="Y68" s="47"/>
      <c r="Z68" s="47"/>
      <c r="AA68" s="47"/>
      <c r="AB68" s="47"/>
    </row>
    <row r="69" spans="1:28" ht="30.75" customHeight="1" x14ac:dyDescent="0.3">
      <c r="A69" s="39" t="s">
        <v>175</v>
      </c>
      <c r="B69" s="40" t="s">
        <v>179</v>
      </c>
      <c r="C69" s="55"/>
      <c r="D69" s="62"/>
      <c r="E69" s="21">
        <v>517128180</v>
      </c>
      <c r="F69" s="93">
        <v>124953180</v>
      </c>
      <c r="G69" s="21">
        <v>124933800</v>
      </c>
      <c r="H69" s="29">
        <f t="shared" si="18"/>
        <v>99.984490190645801</v>
      </c>
      <c r="I69" s="21">
        <v>0</v>
      </c>
      <c r="J69" s="21">
        <f t="shared" si="1"/>
        <v>124933800</v>
      </c>
      <c r="K69" s="29">
        <f t="shared" si="19"/>
        <v>99.984490190645801</v>
      </c>
      <c r="L69" s="21">
        <f t="shared" si="24"/>
        <v>19380</v>
      </c>
      <c r="M69" s="29">
        <f t="shared" si="25"/>
        <v>1.5509809354191705E-2</v>
      </c>
      <c r="N69" s="21">
        <f t="shared" si="3"/>
        <v>392194380</v>
      </c>
      <c r="O69" s="29">
        <f t="shared" si="4"/>
        <v>75.840844720548787</v>
      </c>
      <c r="Q69" s="47"/>
      <c r="R69" s="47"/>
      <c r="S69" s="47"/>
      <c r="T69" s="47"/>
      <c r="U69" s="56"/>
      <c r="V69" s="59"/>
      <c r="W69" s="47"/>
      <c r="X69" s="47"/>
      <c r="Y69" s="47"/>
      <c r="Z69" s="47"/>
      <c r="AA69" s="47"/>
    </row>
    <row r="70" spans="1:28" ht="32.25" customHeight="1" x14ac:dyDescent="0.3">
      <c r="A70" s="39" t="s">
        <v>176</v>
      </c>
      <c r="B70" s="40" t="s">
        <v>180</v>
      </c>
      <c r="C70" s="55"/>
      <c r="D70" s="62"/>
      <c r="E70" s="21">
        <v>3735000</v>
      </c>
      <c r="F70" s="93">
        <v>2282500</v>
      </c>
      <c r="G70" s="21">
        <v>569950</v>
      </c>
      <c r="H70" s="29">
        <f t="shared" si="18"/>
        <v>24.970427163198249</v>
      </c>
      <c r="I70" s="21">
        <v>0</v>
      </c>
      <c r="J70" s="21">
        <f t="shared" si="1"/>
        <v>569950</v>
      </c>
      <c r="K70" s="29">
        <f t="shared" si="19"/>
        <v>24.970427163198249</v>
      </c>
      <c r="L70" s="21">
        <f t="shared" si="24"/>
        <v>1712550</v>
      </c>
      <c r="M70" s="29">
        <f t="shared" si="25"/>
        <v>75.029572836801748</v>
      </c>
      <c r="N70" s="21">
        <f t="shared" si="3"/>
        <v>3165050</v>
      </c>
      <c r="O70" s="29">
        <f t="shared" si="4"/>
        <v>84.740294511378849</v>
      </c>
      <c r="Q70" s="47"/>
      <c r="R70" s="47"/>
      <c r="S70" s="47"/>
      <c r="T70" s="47"/>
      <c r="U70" s="56"/>
      <c r="V70" s="59"/>
      <c r="W70" s="47"/>
      <c r="X70" s="47"/>
      <c r="Y70" s="47"/>
      <c r="Z70" s="47"/>
      <c r="AA70" s="47"/>
    </row>
    <row r="71" spans="1:28" ht="36" customHeight="1" x14ac:dyDescent="0.3">
      <c r="A71" s="39" t="s">
        <v>177</v>
      </c>
      <c r="B71" s="40" t="s">
        <v>181</v>
      </c>
      <c r="C71" s="55"/>
      <c r="D71" s="62"/>
      <c r="E71" s="21">
        <v>88582033</v>
      </c>
      <c r="F71" s="93">
        <v>37350000</v>
      </c>
      <c r="G71" s="21">
        <v>18643017</v>
      </c>
      <c r="H71" s="29">
        <f t="shared" si="18"/>
        <v>49.914369477911649</v>
      </c>
      <c r="I71" s="21">
        <v>0</v>
      </c>
      <c r="J71" s="21">
        <f t="shared" si="1"/>
        <v>18643017</v>
      </c>
      <c r="K71" s="29">
        <f t="shared" si="19"/>
        <v>49.914369477911649</v>
      </c>
      <c r="L71" s="21">
        <f t="shared" si="24"/>
        <v>18706983</v>
      </c>
      <c r="M71" s="29">
        <f t="shared" si="25"/>
        <v>50.085630522088351</v>
      </c>
      <c r="N71" s="21">
        <f t="shared" si="3"/>
        <v>69939016</v>
      </c>
      <c r="O71" s="29">
        <f t="shared" si="4"/>
        <v>78.95395220834456</v>
      </c>
      <c r="Q71" s="47"/>
      <c r="R71" s="47"/>
      <c r="S71" s="47"/>
      <c r="T71" s="47"/>
      <c r="U71" s="56"/>
      <c r="V71" s="59"/>
      <c r="W71" s="47"/>
      <c r="X71" s="47"/>
      <c r="Y71" s="47"/>
      <c r="Z71" s="47"/>
      <c r="AA71" s="47"/>
    </row>
    <row r="72" spans="1:28" ht="33.75" customHeight="1" x14ac:dyDescent="0.3">
      <c r="A72" s="39" t="s">
        <v>178</v>
      </c>
      <c r="B72" s="40" t="s">
        <v>182</v>
      </c>
      <c r="C72" s="55"/>
      <c r="D72" s="62"/>
      <c r="E72" s="21">
        <v>1784790500</v>
      </c>
      <c r="F72" s="93">
        <v>576635000</v>
      </c>
      <c r="G72" s="21">
        <v>526580624</v>
      </c>
      <c r="H72" s="29">
        <f t="shared" si="18"/>
        <v>91.319573733817748</v>
      </c>
      <c r="I72" s="21">
        <v>0</v>
      </c>
      <c r="J72" s="21">
        <f t="shared" si="1"/>
        <v>526580624</v>
      </c>
      <c r="K72" s="29">
        <f t="shared" si="19"/>
        <v>91.319573733817748</v>
      </c>
      <c r="L72" s="21">
        <f t="shared" si="24"/>
        <v>50054376</v>
      </c>
      <c r="M72" s="29">
        <f t="shared" si="25"/>
        <v>8.6804262661822467</v>
      </c>
      <c r="N72" s="21">
        <f t="shared" si="3"/>
        <v>1258209876</v>
      </c>
      <c r="O72" s="29">
        <f t="shared" si="4"/>
        <v>70.496222161648674</v>
      </c>
      <c r="Q72" s="47"/>
      <c r="R72" s="47"/>
      <c r="S72" s="47"/>
      <c r="T72" s="47"/>
      <c r="U72" s="56"/>
      <c r="V72" s="59"/>
      <c r="W72" s="47"/>
      <c r="X72" s="47"/>
      <c r="Y72" s="60"/>
      <c r="Z72" s="47"/>
      <c r="AA72" s="47"/>
    </row>
    <row r="73" spans="1:28" ht="33.75" customHeight="1" x14ac:dyDescent="0.3">
      <c r="A73" s="39" t="s">
        <v>178</v>
      </c>
      <c r="B73" s="40" t="s">
        <v>375</v>
      </c>
      <c r="C73" s="55"/>
      <c r="D73" s="62"/>
      <c r="E73" s="21">
        <v>14083440</v>
      </c>
      <c r="F73" s="21">
        <v>0</v>
      </c>
      <c r="G73" s="21">
        <v>0</v>
      </c>
      <c r="H73" s="29">
        <v>0</v>
      </c>
      <c r="I73" s="21">
        <v>0</v>
      </c>
      <c r="J73" s="21">
        <f t="shared" ref="J73" si="26">G73+I73</f>
        <v>0</v>
      </c>
      <c r="K73" s="29">
        <v>0</v>
      </c>
      <c r="L73" s="21">
        <f t="shared" ref="L73" si="27">F73-J73</f>
        <v>0</v>
      </c>
      <c r="M73" s="29">
        <v>0</v>
      </c>
      <c r="N73" s="21">
        <f t="shared" ref="N73" si="28">E73-J73</f>
        <v>14083440</v>
      </c>
      <c r="O73" s="29">
        <f t="shared" ref="O73" si="29">N73/E73*100</f>
        <v>100</v>
      </c>
      <c r="Q73" s="47"/>
      <c r="R73" s="47"/>
      <c r="S73" s="47"/>
      <c r="T73" s="47"/>
      <c r="U73" s="56"/>
      <c r="V73" s="59"/>
      <c r="W73" s="47"/>
      <c r="X73" s="47"/>
      <c r="Y73" s="60"/>
      <c r="Z73" s="47"/>
      <c r="AA73" s="47"/>
    </row>
    <row r="74" spans="1:28" ht="33.75" customHeight="1" x14ac:dyDescent="0.3">
      <c r="A74" s="39" t="s">
        <v>183</v>
      </c>
      <c r="B74" s="40" t="s">
        <v>187</v>
      </c>
      <c r="C74" s="55"/>
      <c r="D74" s="62"/>
      <c r="E74" s="21">
        <v>1888250</v>
      </c>
      <c r="F74" s="93">
        <v>530101</v>
      </c>
      <c r="G74" s="21">
        <v>0</v>
      </c>
      <c r="H74" s="29">
        <f t="shared" si="18"/>
        <v>0</v>
      </c>
      <c r="I74" s="21">
        <v>0</v>
      </c>
      <c r="J74" s="21">
        <f t="shared" si="1"/>
        <v>0</v>
      </c>
      <c r="K74" s="29">
        <f t="shared" si="19"/>
        <v>0</v>
      </c>
      <c r="L74" s="21">
        <f t="shared" si="24"/>
        <v>530101</v>
      </c>
      <c r="M74" s="29">
        <f t="shared" si="25"/>
        <v>100</v>
      </c>
      <c r="N74" s="21">
        <f t="shared" si="3"/>
        <v>1888250</v>
      </c>
      <c r="O74" s="29">
        <f t="shared" si="4"/>
        <v>100</v>
      </c>
      <c r="Q74" s="47"/>
      <c r="R74" s="47"/>
      <c r="S74" s="47"/>
      <c r="T74" s="47"/>
      <c r="U74" s="56"/>
      <c r="V74" s="47"/>
      <c r="W74" s="47"/>
      <c r="X74" s="47"/>
      <c r="Y74" s="47"/>
      <c r="Z74" s="47"/>
      <c r="AA74" s="47"/>
    </row>
    <row r="75" spans="1:28" ht="33.75" customHeight="1" x14ac:dyDescent="0.3">
      <c r="A75" s="39" t="s">
        <v>376</v>
      </c>
      <c r="B75" s="40" t="s">
        <v>377</v>
      </c>
      <c r="C75" s="55"/>
      <c r="D75" s="62"/>
      <c r="E75" s="21">
        <v>1651202</v>
      </c>
      <c r="F75" s="21">
        <v>0</v>
      </c>
      <c r="G75" s="21">
        <v>0</v>
      </c>
      <c r="H75" s="29">
        <v>0</v>
      </c>
      <c r="I75" s="21">
        <v>0</v>
      </c>
      <c r="J75" s="21">
        <f t="shared" ref="J75" si="30">G75+I75</f>
        <v>0</v>
      </c>
      <c r="K75" s="29">
        <v>0</v>
      </c>
      <c r="L75" s="21">
        <f t="shared" ref="L75" si="31">F75-J75</f>
        <v>0</v>
      </c>
      <c r="M75" s="29">
        <v>0</v>
      </c>
      <c r="N75" s="21">
        <f t="shared" ref="N75" si="32">E75-J75</f>
        <v>1651202</v>
      </c>
      <c r="O75" s="29">
        <f t="shared" ref="O75" si="33">N75/E75*100</f>
        <v>100</v>
      </c>
      <c r="Q75" s="47"/>
      <c r="R75" s="47"/>
      <c r="S75" s="47"/>
      <c r="T75" s="47"/>
      <c r="U75" s="56"/>
      <c r="V75" s="47"/>
      <c r="W75" s="47"/>
      <c r="X75" s="47"/>
      <c r="Y75" s="47"/>
      <c r="Z75" s="47"/>
      <c r="AA75" s="47"/>
    </row>
    <row r="76" spans="1:28" ht="35.25" customHeight="1" x14ac:dyDescent="0.3">
      <c r="A76" s="39" t="s">
        <v>184</v>
      </c>
      <c r="B76" s="40" t="s">
        <v>188</v>
      </c>
      <c r="C76" s="55"/>
      <c r="D76" s="62"/>
      <c r="E76" s="21">
        <v>3622285714</v>
      </c>
      <c r="F76" s="93">
        <v>1993133108</v>
      </c>
      <c r="G76" s="21">
        <v>1755298251</v>
      </c>
      <c r="H76" s="29">
        <f t="shared" si="18"/>
        <v>88.067286823675602</v>
      </c>
      <c r="I76" s="21">
        <v>0</v>
      </c>
      <c r="J76" s="21">
        <f t="shared" si="1"/>
        <v>1755298251</v>
      </c>
      <c r="K76" s="29">
        <f t="shared" si="19"/>
        <v>88.067286823675602</v>
      </c>
      <c r="L76" s="21">
        <f t="shared" si="24"/>
        <v>237834857</v>
      </c>
      <c r="M76" s="29">
        <f t="shared" si="25"/>
        <v>11.932713176324398</v>
      </c>
      <c r="N76" s="21">
        <f t="shared" si="3"/>
        <v>1866987463</v>
      </c>
      <c r="O76" s="29">
        <f t="shared" si="4"/>
        <v>51.541695228075532</v>
      </c>
      <c r="Q76" s="47"/>
      <c r="R76" s="47"/>
      <c r="S76" s="47"/>
      <c r="T76" s="47"/>
      <c r="U76" s="56"/>
      <c r="V76" s="59"/>
      <c r="W76" s="47"/>
      <c r="X76" s="47"/>
      <c r="Y76" s="60"/>
      <c r="Z76" s="47"/>
      <c r="AA76" s="47"/>
    </row>
    <row r="77" spans="1:28" ht="29.25" customHeight="1" x14ac:dyDescent="0.3">
      <c r="A77" s="39" t="s">
        <v>185</v>
      </c>
      <c r="B77" s="40" t="s">
        <v>189</v>
      </c>
      <c r="C77" s="55"/>
      <c r="D77" s="62"/>
      <c r="E77" s="21">
        <v>365491989</v>
      </c>
      <c r="F77" s="93">
        <v>194012500</v>
      </c>
      <c r="G77" s="21">
        <v>125528862</v>
      </c>
      <c r="H77" s="29">
        <f t="shared" si="18"/>
        <v>64.701430062495973</v>
      </c>
      <c r="I77" s="21">
        <v>0</v>
      </c>
      <c r="J77" s="21">
        <f t="shared" si="1"/>
        <v>125528862</v>
      </c>
      <c r="K77" s="29">
        <f t="shared" si="19"/>
        <v>64.701430062495973</v>
      </c>
      <c r="L77" s="21">
        <f>F77-J77</f>
        <v>68483638</v>
      </c>
      <c r="M77" s="29">
        <f>L77/F77*100</f>
        <v>35.298569937504027</v>
      </c>
      <c r="N77" s="21">
        <f t="shared" si="3"/>
        <v>239963127</v>
      </c>
      <c r="O77" s="29">
        <f t="shared" si="4"/>
        <v>65.654825337361913</v>
      </c>
      <c r="Q77" s="38"/>
      <c r="R77" s="47"/>
      <c r="S77" s="47"/>
      <c r="T77" s="47"/>
      <c r="U77" s="56"/>
      <c r="V77" s="47"/>
      <c r="W77" s="47"/>
      <c r="X77" s="47"/>
      <c r="Y77" s="47"/>
      <c r="Z77" s="47"/>
      <c r="AA77" s="47"/>
    </row>
    <row r="78" spans="1:28" ht="33" customHeight="1" x14ac:dyDescent="0.3">
      <c r="A78" s="39" t="s">
        <v>186</v>
      </c>
      <c r="B78" s="40" t="s">
        <v>190</v>
      </c>
      <c r="C78" s="55"/>
      <c r="D78" s="62"/>
      <c r="E78" s="21">
        <v>1989469364</v>
      </c>
      <c r="F78" s="93">
        <v>1840069364</v>
      </c>
      <c r="G78" s="21">
        <v>1731298251</v>
      </c>
      <c r="H78" s="29">
        <f t="shared" si="18"/>
        <v>94.088749308691817</v>
      </c>
      <c r="I78" s="21">
        <v>0</v>
      </c>
      <c r="J78" s="21">
        <f t="shared" si="1"/>
        <v>1731298251</v>
      </c>
      <c r="K78" s="29">
        <f t="shared" si="19"/>
        <v>94.088749308691817</v>
      </c>
      <c r="L78" s="21">
        <f t="shared" ref="L78:L96" si="34">F78-J78</f>
        <v>108771113</v>
      </c>
      <c r="M78" s="29">
        <f t="shared" ref="M78:M131" si="35">L78/F78*100</f>
        <v>5.9112506913081786</v>
      </c>
      <c r="N78" s="21">
        <f t="shared" si="3"/>
        <v>258171113</v>
      </c>
      <c r="O78" s="29">
        <f t="shared" si="4"/>
        <v>12.97688306599126</v>
      </c>
      <c r="Q78" s="47"/>
      <c r="R78" s="47"/>
      <c r="S78" s="47"/>
      <c r="T78" s="47"/>
      <c r="U78" s="56"/>
      <c r="V78" s="47"/>
      <c r="W78" s="47"/>
      <c r="X78" s="47"/>
      <c r="Y78" s="47"/>
      <c r="Z78" s="47"/>
      <c r="AA78" s="47"/>
    </row>
    <row r="79" spans="1:28" ht="48.75" customHeight="1" x14ac:dyDescent="0.3">
      <c r="A79" s="53" t="s">
        <v>192</v>
      </c>
      <c r="B79" s="55" t="s">
        <v>191</v>
      </c>
      <c r="C79" s="12"/>
      <c r="D79" s="15"/>
      <c r="E79" s="61">
        <f>SUM(E80:E99)</f>
        <v>272530285</v>
      </c>
      <c r="F79" s="61">
        <f>SUM(F80:F99)</f>
        <v>110553414</v>
      </c>
      <c r="G79" s="61">
        <f>SUM(G80:G98)</f>
        <v>0</v>
      </c>
      <c r="H79" s="28">
        <f t="shared" si="18"/>
        <v>0</v>
      </c>
      <c r="I79" s="61">
        <f>SUM(I80:I98)</f>
        <v>0</v>
      </c>
      <c r="J79" s="19">
        <f t="shared" si="1"/>
        <v>0</v>
      </c>
      <c r="K79" s="28">
        <f t="shared" si="19"/>
        <v>0</v>
      </c>
      <c r="L79" s="22">
        <f t="shared" si="34"/>
        <v>110553414</v>
      </c>
      <c r="M79" s="32">
        <f t="shared" si="35"/>
        <v>100</v>
      </c>
      <c r="N79" s="19">
        <f t="shared" si="3"/>
        <v>272530285</v>
      </c>
      <c r="O79" s="28">
        <f t="shared" si="4"/>
        <v>100</v>
      </c>
      <c r="Q79" s="47"/>
      <c r="R79" s="47"/>
      <c r="S79" s="47"/>
      <c r="T79" s="47"/>
      <c r="U79" s="56"/>
      <c r="V79" s="47"/>
      <c r="W79" s="47"/>
      <c r="X79" s="47"/>
      <c r="Y79" s="47"/>
      <c r="Z79" s="47"/>
      <c r="AA79" s="47"/>
    </row>
    <row r="80" spans="1:28" ht="36.75" customHeight="1" x14ac:dyDescent="0.3">
      <c r="A80" s="39" t="s">
        <v>193</v>
      </c>
      <c r="B80" s="40" t="s">
        <v>194</v>
      </c>
      <c r="C80" s="55"/>
      <c r="D80" s="62"/>
      <c r="E80" s="21">
        <v>1627500</v>
      </c>
      <c r="F80" s="93">
        <v>244125</v>
      </c>
      <c r="G80" s="21">
        <v>0</v>
      </c>
      <c r="H80" s="29">
        <f t="shared" si="18"/>
        <v>0</v>
      </c>
      <c r="I80" s="21">
        <v>0</v>
      </c>
      <c r="J80" s="21">
        <f t="shared" si="1"/>
        <v>0</v>
      </c>
      <c r="K80" s="29">
        <f t="shared" si="19"/>
        <v>0</v>
      </c>
      <c r="L80" s="21">
        <f t="shared" si="34"/>
        <v>244125</v>
      </c>
      <c r="M80" s="29">
        <f t="shared" si="35"/>
        <v>100</v>
      </c>
      <c r="N80" s="21">
        <f t="shared" si="3"/>
        <v>1627500</v>
      </c>
      <c r="O80" s="29">
        <f t="shared" si="4"/>
        <v>100</v>
      </c>
      <c r="Q80" s="47"/>
      <c r="R80" s="47"/>
      <c r="S80" s="47"/>
      <c r="T80" s="47"/>
      <c r="U80" s="56"/>
      <c r="V80" s="47"/>
      <c r="W80" s="47"/>
      <c r="X80" s="47"/>
      <c r="Y80" s="47"/>
      <c r="Z80" s="47"/>
      <c r="AA80" s="47"/>
    </row>
    <row r="81" spans="1:27" ht="37.200000000000003" customHeight="1" x14ac:dyDescent="0.3">
      <c r="A81" s="39" t="s">
        <v>195</v>
      </c>
      <c r="B81" s="40" t="s">
        <v>207</v>
      </c>
      <c r="C81" s="55"/>
      <c r="D81" s="62"/>
      <c r="E81" s="21">
        <v>9145657</v>
      </c>
      <c r="F81" s="93">
        <v>2911723</v>
      </c>
      <c r="G81" s="21">
        <v>0</v>
      </c>
      <c r="H81" s="29">
        <f t="shared" si="18"/>
        <v>0</v>
      </c>
      <c r="I81" s="21">
        <v>0</v>
      </c>
      <c r="J81" s="21">
        <f t="shared" si="1"/>
        <v>0</v>
      </c>
      <c r="K81" s="29">
        <f t="shared" si="19"/>
        <v>0</v>
      </c>
      <c r="L81" s="21">
        <f t="shared" si="34"/>
        <v>2911723</v>
      </c>
      <c r="M81" s="29">
        <f t="shared" si="35"/>
        <v>100</v>
      </c>
      <c r="N81" s="21">
        <f t="shared" si="3"/>
        <v>9145657</v>
      </c>
      <c r="O81" s="29">
        <f t="shared" si="4"/>
        <v>100</v>
      </c>
      <c r="Q81" s="47"/>
      <c r="R81" s="47"/>
      <c r="S81" s="47"/>
      <c r="T81" s="47"/>
      <c r="U81" s="56"/>
      <c r="V81" s="47"/>
      <c r="W81" s="47"/>
      <c r="X81" s="47"/>
      <c r="Y81" s="47"/>
      <c r="Z81" s="47"/>
      <c r="AA81" s="47"/>
    </row>
    <row r="82" spans="1:27" ht="33" customHeight="1" x14ac:dyDescent="0.3">
      <c r="A82" s="39" t="s">
        <v>196</v>
      </c>
      <c r="B82" s="40" t="s">
        <v>208</v>
      </c>
      <c r="C82" s="55"/>
      <c r="D82" s="62"/>
      <c r="E82" s="21">
        <v>18351538</v>
      </c>
      <c r="F82" s="93">
        <v>9403902</v>
      </c>
      <c r="G82" s="21">
        <v>0</v>
      </c>
      <c r="H82" s="29">
        <f t="shared" si="18"/>
        <v>0</v>
      </c>
      <c r="I82" s="21">
        <v>0</v>
      </c>
      <c r="J82" s="21">
        <f t="shared" si="1"/>
        <v>0</v>
      </c>
      <c r="K82" s="29">
        <f t="shared" si="19"/>
        <v>0</v>
      </c>
      <c r="L82" s="21">
        <f t="shared" si="34"/>
        <v>9403902</v>
      </c>
      <c r="M82" s="29">
        <f t="shared" si="35"/>
        <v>100</v>
      </c>
      <c r="N82" s="21">
        <f t="shared" si="3"/>
        <v>18351538</v>
      </c>
      <c r="O82" s="29">
        <f t="shared" si="4"/>
        <v>100</v>
      </c>
      <c r="Q82" s="47"/>
      <c r="R82" s="47"/>
      <c r="S82" s="47"/>
      <c r="T82" s="47"/>
      <c r="U82" s="56"/>
      <c r="V82" s="47"/>
      <c r="W82" s="47"/>
      <c r="X82" s="47"/>
      <c r="Y82" s="47"/>
      <c r="Z82" s="47"/>
      <c r="AA82" s="47"/>
    </row>
    <row r="83" spans="1:27" ht="48.75" customHeight="1" x14ac:dyDescent="0.3">
      <c r="A83" s="39" t="s">
        <v>197</v>
      </c>
      <c r="B83" s="40" t="s">
        <v>316</v>
      </c>
      <c r="C83" s="55"/>
      <c r="D83" s="62"/>
      <c r="E83" s="21">
        <v>9960300</v>
      </c>
      <c r="F83" s="93">
        <v>9960300</v>
      </c>
      <c r="G83" s="21">
        <v>0</v>
      </c>
      <c r="H83" s="29">
        <f t="shared" si="18"/>
        <v>0</v>
      </c>
      <c r="I83" s="21">
        <v>0</v>
      </c>
      <c r="J83" s="21">
        <f t="shared" si="1"/>
        <v>0</v>
      </c>
      <c r="K83" s="29">
        <f t="shared" si="19"/>
        <v>0</v>
      </c>
      <c r="L83" s="21">
        <f t="shared" si="34"/>
        <v>9960300</v>
      </c>
      <c r="M83" s="29">
        <f t="shared" si="35"/>
        <v>100</v>
      </c>
      <c r="N83" s="21">
        <f t="shared" si="3"/>
        <v>9960300</v>
      </c>
      <c r="O83" s="29">
        <f t="shared" si="4"/>
        <v>100</v>
      </c>
      <c r="Q83" s="47"/>
      <c r="R83" s="47"/>
      <c r="S83" s="47"/>
      <c r="T83" s="47"/>
      <c r="U83" s="56"/>
      <c r="V83" s="47"/>
      <c r="W83" s="47"/>
      <c r="X83" s="47"/>
      <c r="Y83" s="47"/>
      <c r="Z83" s="47"/>
      <c r="AA83" s="47"/>
    </row>
    <row r="84" spans="1:27" ht="48.75" customHeight="1" x14ac:dyDescent="0.3">
      <c r="A84" s="39" t="s">
        <v>378</v>
      </c>
      <c r="B84" s="40" t="s">
        <v>379</v>
      </c>
      <c r="C84" s="55"/>
      <c r="D84" s="62"/>
      <c r="E84" s="21">
        <v>1403686</v>
      </c>
      <c r="F84" s="21">
        <v>0</v>
      </c>
      <c r="G84" s="21">
        <v>0</v>
      </c>
      <c r="H84" s="29">
        <v>0</v>
      </c>
      <c r="I84" s="21">
        <v>0</v>
      </c>
      <c r="J84" s="21">
        <f t="shared" ref="J84" si="36">G84+I84</f>
        <v>0</v>
      </c>
      <c r="K84" s="29">
        <v>0</v>
      </c>
      <c r="L84" s="21">
        <f t="shared" ref="L84" si="37">F84-J84</f>
        <v>0</v>
      </c>
      <c r="M84" s="29">
        <v>0</v>
      </c>
      <c r="N84" s="21">
        <f t="shared" ref="N84" si="38">E84-J84</f>
        <v>1403686</v>
      </c>
      <c r="O84" s="29">
        <f t="shared" ref="O84" si="39">N84/E84*100</f>
        <v>100</v>
      </c>
      <c r="Q84" s="47"/>
      <c r="R84" s="47"/>
      <c r="S84" s="47"/>
      <c r="T84" s="47"/>
      <c r="U84" s="56"/>
      <c r="V84" s="47"/>
      <c r="W84" s="47"/>
      <c r="X84" s="47"/>
      <c r="Y84" s="47"/>
      <c r="Z84" s="47"/>
      <c r="AA84" s="47"/>
    </row>
    <row r="85" spans="1:27" ht="33" customHeight="1" x14ac:dyDescent="0.3">
      <c r="A85" s="39" t="s">
        <v>198</v>
      </c>
      <c r="B85" s="40" t="s">
        <v>209</v>
      </c>
      <c r="C85" s="55"/>
      <c r="D85" s="62"/>
      <c r="E85" s="21">
        <v>2790000</v>
      </c>
      <c r="F85" s="93">
        <v>2790000</v>
      </c>
      <c r="G85" s="21">
        <v>0</v>
      </c>
      <c r="H85" s="29">
        <f t="shared" si="18"/>
        <v>0</v>
      </c>
      <c r="I85" s="21">
        <v>0</v>
      </c>
      <c r="J85" s="21">
        <f t="shared" si="1"/>
        <v>0</v>
      </c>
      <c r="K85" s="29">
        <f t="shared" si="19"/>
        <v>0</v>
      </c>
      <c r="L85" s="21">
        <f t="shared" si="34"/>
        <v>2790000</v>
      </c>
      <c r="M85" s="29">
        <f t="shared" si="35"/>
        <v>100</v>
      </c>
      <c r="N85" s="21">
        <f t="shared" si="3"/>
        <v>2790000</v>
      </c>
      <c r="O85" s="29">
        <f t="shared" si="4"/>
        <v>100</v>
      </c>
      <c r="Q85" s="47"/>
      <c r="R85" s="47"/>
      <c r="S85" s="47"/>
      <c r="T85" s="47"/>
      <c r="U85" s="56"/>
      <c r="V85" s="47"/>
      <c r="W85" s="47"/>
      <c r="X85" s="47"/>
      <c r="Y85" s="47"/>
      <c r="Z85" s="47"/>
      <c r="AA85" s="47"/>
    </row>
    <row r="86" spans="1:27" ht="49.8" customHeight="1" x14ac:dyDescent="0.3">
      <c r="A86" s="39" t="s">
        <v>199</v>
      </c>
      <c r="B86" s="40" t="s">
        <v>210</v>
      </c>
      <c r="C86" s="55"/>
      <c r="D86" s="62"/>
      <c r="E86" s="21">
        <v>17451576</v>
      </c>
      <c r="F86" s="93">
        <v>17451576</v>
      </c>
      <c r="G86" s="21">
        <v>0</v>
      </c>
      <c r="H86" s="29">
        <f t="shared" si="18"/>
        <v>0</v>
      </c>
      <c r="I86" s="21">
        <v>0</v>
      </c>
      <c r="J86" s="21">
        <f t="shared" si="1"/>
        <v>0</v>
      </c>
      <c r="K86" s="32">
        <f t="shared" si="19"/>
        <v>0</v>
      </c>
      <c r="L86" s="21">
        <f t="shared" si="34"/>
        <v>17451576</v>
      </c>
      <c r="M86" s="29">
        <f t="shared" si="35"/>
        <v>100</v>
      </c>
      <c r="N86" s="21">
        <f t="shared" si="3"/>
        <v>17451576</v>
      </c>
      <c r="O86" s="29">
        <f t="shared" si="4"/>
        <v>100</v>
      </c>
      <c r="Q86" s="47"/>
      <c r="R86" s="47"/>
      <c r="S86" s="47"/>
      <c r="T86" s="47"/>
      <c r="U86" s="56"/>
      <c r="V86" s="47"/>
      <c r="W86" s="47"/>
      <c r="X86" s="47"/>
      <c r="Y86" s="47"/>
      <c r="Z86" s="47"/>
      <c r="AA86" s="47"/>
    </row>
    <row r="87" spans="1:27" ht="33.75" customHeight="1" x14ac:dyDescent="0.3">
      <c r="A87" s="39" t="s">
        <v>200</v>
      </c>
      <c r="B87" s="40" t="s">
        <v>211</v>
      </c>
      <c r="C87" s="55"/>
      <c r="D87" s="62"/>
      <c r="E87" s="21">
        <v>39030273</v>
      </c>
      <c r="F87" s="93">
        <v>9657475</v>
      </c>
      <c r="G87" s="21">
        <v>0</v>
      </c>
      <c r="H87" s="29">
        <f t="shared" si="18"/>
        <v>0</v>
      </c>
      <c r="I87" s="21">
        <v>0</v>
      </c>
      <c r="J87" s="21">
        <f t="shared" si="1"/>
        <v>0</v>
      </c>
      <c r="K87" s="29">
        <f t="shared" si="19"/>
        <v>0</v>
      </c>
      <c r="L87" s="21">
        <f t="shared" si="34"/>
        <v>9657475</v>
      </c>
      <c r="M87" s="29">
        <f t="shared" si="35"/>
        <v>100</v>
      </c>
      <c r="N87" s="21">
        <f t="shared" si="3"/>
        <v>39030273</v>
      </c>
      <c r="O87" s="29">
        <f t="shared" si="4"/>
        <v>100</v>
      </c>
      <c r="Q87" s="47"/>
      <c r="R87" s="47"/>
      <c r="S87" s="47"/>
      <c r="T87" s="47"/>
      <c r="U87" s="56"/>
      <c r="V87" s="47"/>
      <c r="W87" s="47"/>
      <c r="X87" s="47"/>
      <c r="Y87" s="47"/>
      <c r="Z87" s="47"/>
      <c r="AA87" s="47"/>
    </row>
    <row r="88" spans="1:27" ht="33.75" customHeight="1" x14ac:dyDescent="0.3">
      <c r="A88" s="39" t="s">
        <v>380</v>
      </c>
      <c r="B88" s="40" t="s">
        <v>381</v>
      </c>
      <c r="C88" s="55"/>
      <c r="D88" s="62"/>
      <c r="E88" s="21">
        <v>1707248</v>
      </c>
      <c r="F88" s="93">
        <v>256087</v>
      </c>
      <c r="G88" s="21">
        <v>0</v>
      </c>
      <c r="H88" s="29">
        <f t="shared" ref="H88" si="40">G88/F88*100</f>
        <v>0</v>
      </c>
      <c r="I88" s="21">
        <v>0</v>
      </c>
      <c r="J88" s="21">
        <f t="shared" ref="J88" si="41">G88+I88</f>
        <v>0</v>
      </c>
      <c r="K88" s="29">
        <f t="shared" ref="K88" si="42">J88/F88*100</f>
        <v>0</v>
      </c>
      <c r="L88" s="21">
        <f t="shared" ref="L88" si="43">F88-J88</f>
        <v>256087</v>
      </c>
      <c r="M88" s="29">
        <f t="shared" ref="M88" si="44">L88/F88*100</f>
        <v>100</v>
      </c>
      <c r="N88" s="21">
        <f t="shared" ref="N88" si="45">E88-J88</f>
        <v>1707248</v>
      </c>
      <c r="O88" s="29">
        <f t="shared" ref="O88" si="46">N88/E88*100</f>
        <v>100</v>
      </c>
      <c r="Q88" s="47"/>
      <c r="R88" s="47"/>
      <c r="S88" s="47"/>
      <c r="T88" s="47"/>
      <c r="U88" s="56"/>
      <c r="V88" s="47"/>
      <c r="W88" s="47"/>
      <c r="X88" s="47"/>
      <c r="Y88" s="47"/>
      <c r="Z88" s="47"/>
      <c r="AA88" s="47"/>
    </row>
    <row r="89" spans="1:27" ht="33.75" customHeight="1" x14ac:dyDescent="0.3">
      <c r="A89" s="39" t="s">
        <v>201</v>
      </c>
      <c r="B89" s="40" t="s">
        <v>212</v>
      </c>
      <c r="C89" s="55"/>
      <c r="D89" s="62"/>
      <c r="E89" s="21">
        <v>2577960</v>
      </c>
      <c r="F89" s="93">
        <v>386694</v>
      </c>
      <c r="G89" s="21">
        <v>0</v>
      </c>
      <c r="H89" s="29">
        <f t="shared" si="18"/>
        <v>0</v>
      </c>
      <c r="I89" s="21">
        <v>0</v>
      </c>
      <c r="J89" s="21">
        <f t="shared" si="1"/>
        <v>0</v>
      </c>
      <c r="K89" s="29">
        <f t="shared" si="19"/>
        <v>0</v>
      </c>
      <c r="L89" s="21">
        <f t="shared" si="34"/>
        <v>386694</v>
      </c>
      <c r="M89" s="29">
        <f t="shared" si="35"/>
        <v>100</v>
      </c>
      <c r="N89" s="21">
        <f t="shared" si="3"/>
        <v>2577960</v>
      </c>
      <c r="O89" s="29">
        <f t="shared" si="4"/>
        <v>100</v>
      </c>
      <c r="Q89" s="47"/>
      <c r="R89" s="47"/>
      <c r="S89" s="47"/>
      <c r="T89" s="47"/>
      <c r="U89" s="56"/>
      <c r="V89" s="47"/>
      <c r="W89" s="47"/>
      <c r="X89" s="47"/>
      <c r="Y89" s="47"/>
      <c r="Z89" s="47"/>
      <c r="AA89" s="47"/>
    </row>
    <row r="90" spans="1:27" ht="34.5" customHeight="1" x14ac:dyDescent="0.3">
      <c r="A90" s="39" t="s">
        <v>202</v>
      </c>
      <c r="B90" s="40" t="s">
        <v>213</v>
      </c>
      <c r="C90" s="55"/>
      <c r="D90" s="62"/>
      <c r="E90" s="21">
        <v>830583</v>
      </c>
      <c r="F90" s="93">
        <v>830583</v>
      </c>
      <c r="G90" s="21">
        <v>0</v>
      </c>
      <c r="H90" s="29">
        <f t="shared" si="18"/>
        <v>0</v>
      </c>
      <c r="I90" s="21">
        <v>0</v>
      </c>
      <c r="J90" s="21">
        <f t="shared" si="1"/>
        <v>0</v>
      </c>
      <c r="K90" s="29">
        <f t="shared" si="19"/>
        <v>0</v>
      </c>
      <c r="L90" s="21">
        <f t="shared" si="34"/>
        <v>830583</v>
      </c>
      <c r="M90" s="29">
        <f t="shared" si="35"/>
        <v>100</v>
      </c>
      <c r="N90" s="21">
        <f t="shared" si="3"/>
        <v>830583</v>
      </c>
      <c r="O90" s="29">
        <f t="shared" si="4"/>
        <v>100</v>
      </c>
      <c r="Q90" s="47"/>
      <c r="R90" s="47"/>
      <c r="S90" s="47"/>
      <c r="T90" s="47"/>
      <c r="U90" s="56"/>
      <c r="V90" s="47"/>
      <c r="W90" s="47"/>
      <c r="X90" s="47"/>
      <c r="Y90" s="47"/>
      <c r="Z90" s="47"/>
      <c r="AA90" s="47"/>
    </row>
    <row r="91" spans="1:27" ht="34.5" customHeight="1" x14ac:dyDescent="0.3">
      <c r="A91" s="39" t="s">
        <v>382</v>
      </c>
      <c r="B91" s="40" t="s">
        <v>383</v>
      </c>
      <c r="C91" s="55"/>
      <c r="D91" s="62"/>
      <c r="E91" s="21">
        <v>7310079</v>
      </c>
      <c r="F91" s="21">
        <v>0</v>
      </c>
      <c r="G91" s="21">
        <v>0</v>
      </c>
      <c r="H91" s="29">
        <v>0</v>
      </c>
      <c r="I91" s="21">
        <v>0</v>
      </c>
      <c r="J91" s="21">
        <f t="shared" ref="J91:J92" si="47">G91+I91</f>
        <v>0</v>
      </c>
      <c r="K91" s="29">
        <v>0</v>
      </c>
      <c r="L91" s="21">
        <f t="shared" ref="L91:L92" si="48">F91-J91</f>
        <v>0</v>
      </c>
      <c r="M91" s="29">
        <v>0</v>
      </c>
      <c r="N91" s="21">
        <f t="shared" ref="N91:N92" si="49">E91-J91</f>
        <v>7310079</v>
      </c>
      <c r="O91" s="29">
        <f t="shared" ref="O91:O92" si="50">N91/E91*100</f>
        <v>100</v>
      </c>
      <c r="Q91" s="47"/>
      <c r="R91" s="47"/>
      <c r="S91" s="47"/>
      <c r="T91" s="47"/>
      <c r="U91" s="56"/>
      <c r="V91" s="47"/>
      <c r="W91" s="47"/>
      <c r="X91" s="47"/>
      <c r="Y91" s="47"/>
      <c r="Z91" s="47"/>
      <c r="AA91" s="47"/>
    </row>
    <row r="92" spans="1:27" ht="34.5" customHeight="1" x14ac:dyDescent="0.3">
      <c r="A92" s="39" t="s">
        <v>384</v>
      </c>
      <c r="B92" s="40" t="s">
        <v>385</v>
      </c>
      <c r="C92" s="55"/>
      <c r="D92" s="62"/>
      <c r="E92" s="21">
        <v>2441250</v>
      </c>
      <c r="F92" s="21">
        <v>0</v>
      </c>
      <c r="G92" s="21">
        <v>0</v>
      </c>
      <c r="H92" s="29">
        <v>0</v>
      </c>
      <c r="I92" s="21">
        <v>0</v>
      </c>
      <c r="J92" s="21">
        <f t="shared" si="47"/>
        <v>0</v>
      </c>
      <c r="K92" s="29">
        <v>0</v>
      </c>
      <c r="L92" s="21">
        <f t="shared" si="48"/>
        <v>0</v>
      </c>
      <c r="M92" s="29">
        <v>0</v>
      </c>
      <c r="N92" s="21">
        <f t="shared" si="49"/>
        <v>2441250</v>
      </c>
      <c r="O92" s="29">
        <f t="shared" si="50"/>
        <v>100</v>
      </c>
      <c r="Q92" s="47"/>
      <c r="R92" s="47"/>
      <c r="S92" s="47"/>
      <c r="T92" s="47"/>
      <c r="U92" s="56"/>
      <c r="V92" s="47"/>
      <c r="W92" s="47"/>
      <c r="X92" s="47"/>
      <c r="Y92" s="47"/>
      <c r="Z92" s="47"/>
      <c r="AA92" s="47"/>
    </row>
    <row r="93" spans="1:27" ht="32.25" customHeight="1" x14ac:dyDescent="0.3">
      <c r="A93" s="39" t="s">
        <v>203</v>
      </c>
      <c r="B93" s="40" t="s">
        <v>214</v>
      </c>
      <c r="C93" s="55"/>
      <c r="D93" s="62"/>
      <c r="E93" s="21">
        <v>348750</v>
      </c>
      <c r="F93" s="93">
        <v>348750</v>
      </c>
      <c r="G93" s="21">
        <v>0</v>
      </c>
      <c r="H93" s="29">
        <f t="shared" si="18"/>
        <v>0</v>
      </c>
      <c r="I93" s="21">
        <v>0</v>
      </c>
      <c r="J93" s="21">
        <f t="shared" si="1"/>
        <v>0</v>
      </c>
      <c r="K93" s="29">
        <f t="shared" si="19"/>
        <v>0</v>
      </c>
      <c r="L93" s="21">
        <f t="shared" si="34"/>
        <v>348750</v>
      </c>
      <c r="M93" s="29">
        <f t="shared" si="35"/>
        <v>100</v>
      </c>
      <c r="N93" s="21">
        <f t="shared" si="3"/>
        <v>348750</v>
      </c>
      <c r="O93" s="29">
        <f t="shared" si="4"/>
        <v>100</v>
      </c>
      <c r="Q93" s="47"/>
      <c r="R93" s="47"/>
      <c r="S93" s="47"/>
      <c r="T93" s="47"/>
      <c r="U93" s="56"/>
      <c r="V93" s="47"/>
      <c r="W93" s="47"/>
      <c r="X93" s="47"/>
      <c r="Y93" s="47"/>
      <c r="Z93" s="47"/>
      <c r="AA93" s="47"/>
    </row>
    <row r="94" spans="1:27" ht="38.4" customHeight="1" x14ac:dyDescent="0.3">
      <c r="A94" s="39" t="s">
        <v>204</v>
      </c>
      <c r="B94" s="40" t="s">
        <v>215</v>
      </c>
      <c r="C94" s="55"/>
      <c r="D94" s="62"/>
      <c r="E94" s="21">
        <v>22169135</v>
      </c>
      <c r="F94" s="93">
        <v>14512689</v>
      </c>
      <c r="G94" s="21">
        <v>0</v>
      </c>
      <c r="H94" s="29">
        <f t="shared" si="18"/>
        <v>0</v>
      </c>
      <c r="I94" s="21">
        <v>0</v>
      </c>
      <c r="J94" s="21">
        <f t="shared" si="1"/>
        <v>0</v>
      </c>
      <c r="K94" s="29">
        <f t="shared" si="19"/>
        <v>0</v>
      </c>
      <c r="L94" s="21">
        <f t="shared" si="34"/>
        <v>14512689</v>
      </c>
      <c r="M94" s="29">
        <f t="shared" si="35"/>
        <v>100</v>
      </c>
      <c r="N94" s="21">
        <f t="shared" si="3"/>
        <v>22169135</v>
      </c>
      <c r="O94" s="29">
        <f t="shared" si="4"/>
        <v>100</v>
      </c>
      <c r="Q94" s="47"/>
      <c r="R94" s="47"/>
      <c r="S94" s="47"/>
      <c r="T94" s="47"/>
      <c r="U94" s="56"/>
      <c r="V94" s="47"/>
      <c r="W94" s="47"/>
      <c r="X94" s="47"/>
      <c r="Y94" s="47"/>
      <c r="Z94" s="47"/>
      <c r="AA94" s="47"/>
    </row>
    <row r="95" spans="1:27" ht="38.4" customHeight="1" x14ac:dyDescent="0.3">
      <c r="A95" s="39" t="s">
        <v>386</v>
      </c>
      <c r="B95" s="40" t="s">
        <v>387</v>
      </c>
      <c r="C95" s="55"/>
      <c r="D95" s="62"/>
      <c r="E95" s="21">
        <v>12694500</v>
      </c>
      <c r="F95" s="21">
        <v>0</v>
      </c>
      <c r="G95" s="21">
        <v>0</v>
      </c>
      <c r="H95" s="29">
        <v>0</v>
      </c>
      <c r="I95" s="21">
        <v>0</v>
      </c>
      <c r="J95" s="21">
        <f t="shared" ref="J95" si="51">G95+I95</f>
        <v>0</v>
      </c>
      <c r="K95" s="29">
        <v>0</v>
      </c>
      <c r="L95" s="21">
        <f t="shared" ref="L95" si="52">F95-J95</f>
        <v>0</v>
      </c>
      <c r="M95" s="29">
        <v>0</v>
      </c>
      <c r="N95" s="21">
        <f t="shared" ref="N95" si="53">E95-J95</f>
        <v>12694500</v>
      </c>
      <c r="O95" s="29">
        <f t="shared" ref="O95" si="54">N95/E95*100</f>
        <v>100</v>
      </c>
      <c r="Q95" s="47"/>
      <c r="R95" s="47"/>
      <c r="S95" s="47"/>
      <c r="T95" s="47"/>
      <c r="U95" s="56"/>
      <c r="V95" s="47"/>
      <c r="W95" s="47"/>
      <c r="X95" s="47"/>
      <c r="Y95" s="47"/>
      <c r="Z95" s="47"/>
      <c r="AA95" s="47"/>
    </row>
    <row r="96" spans="1:27" ht="45.6" customHeight="1" x14ac:dyDescent="0.3">
      <c r="A96" s="39" t="s">
        <v>205</v>
      </c>
      <c r="B96" s="40" t="s">
        <v>216</v>
      </c>
      <c r="C96" s="55"/>
      <c r="D96" s="62"/>
      <c r="E96" s="21">
        <v>25948860</v>
      </c>
      <c r="F96" s="93">
        <v>10557960</v>
      </c>
      <c r="G96" s="21">
        <v>0</v>
      </c>
      <c r="H96" s="29">
        <f t="shared" si="18"/>
        <v>0</v>
      </c>
      <c r="I96" s="21">
        <v>0</v>
      </c>
      <c r="J96" s="21">
        <f t="shared" si="1"/>
        <v>0</v>
      </c>
      <c r="K96" s="29">
        <f t="shared" si="19"/>
        <v>0</v>
      </c>
      <c r="L96" s="21">
        <f t="shared" si="34"/>
        <v>10557960</v>
      </c>
      <c r="M96" s="29">
        <f t="shared" si="35"/>
        <v>100</v>
      </c>
      <c r="N96" s="21">
        <f t="shared" si="3"/>
        <v>25948860</v>
      </c>
      <c r="O96" s="29">
        <f t="shared" si="4"/>
        <v>100</v>
      </c>
      <c r="Q96" s="47"/>
      <c r="R96" s="47"/>
      <c r="S96" s="47"/>
      <c r="T96" s="47"/>
      <c r="U96" s="56"/>
      <c r="V96" s="47"/>
      <c r="W96" s="47"/>
      <c r="X96" s="47"/>
      <c r="Y96" s="47"/>
      <c r="Z96" s="47"/>
      <c r="AA96" s="47"/>
    </row>
    <row r="97" spans="1:27" ht="42.6" customHeight="1" x14ac:dyDescent="0.3">
      <c r="A97" s="39" t="s">
        <v>206</v>
      </c>
      <c r="B97" s="40" t="s">
        <v>217</v>
      </c>
      <c r="C97" s="55"/>
      <c r="D97" s="62"/>
      <c r="E97" s="21">
        <v>79050</v>
      </c>
      <c r="F97" s="93">
        <v>79050</v>
      </c>
      <c r="G97" s="21">
        <v>0</v>
      </c>
      <c r="H97" s="29">
        <f t="shared" si="18"/>
        <v>0</v>
      </c>
      <c r="I97" s="21">
        <v>0</v>
      </c>
      <c r="J97" s="21">
        <f t="shared" si="1"/>
        <v>0</v>
      </c>
      <c r="K97" s="29">
        <f t="shared" si="19"/>
        <v>0</v>
      </c>
      <c r="L97" s="21">
        <f>F97-J97</f>
        <v>79050</v>
      </c>
      <c r="M97" s="29">
        <f t="shared" si="35"/>
        <v>100</v>
      </c>
      <c r="N97" s="21">
        <f t="shared" si="3"/>
        <v>79050</v>
      </c>
      <c r="O97" s="29">
        <f t="shared" si="4"/>
        <v>100</v>
      </c>
      <c r="Q97" s="47"/>
      <c r="R97" s="47"/>
      <c r="S97" s="47"/>
      <c r="T97" s="47"/>
      <c r="U97" s="56"/>
      <c r="V97" s="47"/>
      <c r="W97" s="47"/>
      <c r="X97" s="47"/>
      <c r="Y97" s="47"/>
      <c r="Z97" s="47"/>
      <c r="AA97" s="47"/>
    </row>
    <row r="98" spans="1:27" ht="45" customHeight="1" x14ac:dyDescent="0.3">
      <c r="A98" s="39" t="s">
        <v>388</v>
      </c>
      <c r="B98" s="40" t="s">
        <v>389</v>
      </c>
      <c r="C98" s="55"/>
      <c r="D98" s="62"/>
      <c r="E98" s="21">
        <v>94162500</v>
      </c>
      <c r="F98" s="93">
        <v>31162500</v>
      </c>
      <c r="G98" s="21">
        <v>0</v>
      </c>
      <c r="H98" s="29">
        <f t="shared" si="18"/>
        <v>0</v>
      </c>
      <c r="I98" s="21">
        <v>0</v>
      </c>
      <c r="J98" s="21">
        <f>G98+I98</f>
        <v>0</v>
      </c>
      <c r="K98" s="29">
        <f t="shared" si="19"/>
        <v>0</v>
      </c>
      <c r="L98" s="21">
        <f>F98-J98</f>
        <v>31162500</v>
      </c>
      <c r="M98" s="29">
        <f t="shared" si="35"/>
        <v>100</v>
      </c>
      <c r="N98" s="21">
        <f t="shared" si="3"/>
        <v>94162500</v>
      </c>
      <c r="O98" s="29">
        <f t="shared" si="4"/>
        <v>100</v>
      </c>
      <c r="Q98" s="47"/>
      <c r="R98" s="47"/>
      <c r="S98" s="46"/>
      <c r="T98" s="46"/>
      <c r="U98" s="56"/>
      <c r="V98" s="47"/>
      <c r="W98" s="46"/>
      <c r="X98" s="47"/>
      <c r="Y98" s="47"/>
      <c r="Z98" s="47"/>
      <c r="AA98" s="47"/>
    </row>
    <row r="99" spans="1:27" ht="45" customHeight="1" x14ac:dyDescent="0.3">
      <c r="A99" s="39" t="s">
        <v>390</v>
      </c>
      <c r="B99" s="40" t="s">
        <v>391</v>
      </c>
      <c r="C99" s="55"/>
      <c r="D99" s="62"/>
      <c r="E99" s="21">
        <v>2499840</v>
      </c>
      <c r="F99" s="21">
        <v>0</v>
      </c>
      <c r="G99" s="21">
        <v>0</v>
      </c>
      <c r="H99" s="29">
        <v>0</v>
      </c>
      <c r="I99" s="21">
        <v>0</v>
      </c>
      <c r="J99" s="21">
        <f>G99+I99</f>
        <v>0</v>
      </c>
      <c r="K99" s="29">
        <v>0</v>
      </c>
      <c r="L99" s="21">
        <f>F99-J99</f>
        <v>0</v>
      </c>
      <c r="M99" s="29">
        <v>0</v>
      </c>
      <c r="N99" s="21">
        <f t="shared" ref="N99" si="55">E99-J99</f>
        <v>2499840</v>
      </c>
      <c r="O99" s="29">
        <f t="shared" ref="O99" si="56">N99/E99*100</f>
        <v>100</v>
      </c>
      <c r="Q99" s="47"/>
      <c r="R99" s="47"/>
      <c r="S99" s="46"/>
      <c r="T99" s="46"/>
      <c r="U99" s="56"/>
      <c r="V99" s="47"/>
      <c r="W99" s="46"/>
      <c r="X99" s="47"/>
      <c r="Y99" s="47"/>
      <c r="Z99" s="47"/>
      <c r="AA99" s="47"/>
    </row>
    <row r="100" spans="1:27" ht="32.25" customHeight="1" x14ac:dyDescent="0.3">
      <c r="A100" s="53" t="s">
        <v>218</v>
      </c>
      <c r="B100" s="55" t="s">
        <v>219</v>
      </c>
      <c r="C100" s="12"/>
      <c r="D100" s="15"/>
      <c r="E100" s="22">
        <f>E101+E113</f>
        <v>966249022</v>
      </c>
      <c r="F100" s="22">
        <f>F101+F113</f>
        <v>384692718</v>
      </c>
      <c r="G100" s="22">
        <f>G101+G113</f>
        <v>333431280</v>
      </c>
      <c r="H100" s="28">
        <f t="shared" si="18"/>
        <v>86.674705394345423</v>
      </c>
      <c r="I100" s="22">
        <f>I101+I113</f>
        <v>0</v>
      </c>
      <c r="J100" s="19">
        <f t="shared" si="1"/>
        <v>333431280</v>
      </c>
      <c r="K100" s="28">
        <f t="shared" si="19"/>
        <v>86.674705394345423</v>
      </c>
      <c r="L100" s="22">
        <f t="shared" ref="L100:L131" si="57">F100-J100</f>
        <v>51261438</v>
      </c>
      <c r="M100" s="32">
        <f t="shared" si="35"/>
        <v>13.325294605654584</v>
      </c>
      <c r="N100" s="19">
        <f t="shared" si="3"/>
        <v>632817742</v>
      </c>
      <c r="O100" s="28">
        <f t="shared" si="4"/>
        <v>65.492200001419505</v>
      </c>
      <c r="P100" s="80"/>
      <c r="Q100" s="47"/>
      <c r="R100" s="47"/>
      <c r="S100" s="47"/>
      <c r="T100" s="47"/>
      <c r="U100" s="56"/>
      <c r="V100" s="47"/>
      <c r="W100" s="47"/>
      <c r="X100" s="47"/>
      <c r="Y100" s="47"/>
      <c r="Z100" s="47"/>
      <c r="AA100" s="47"/>
    </row>
    <row r="101" spans="1:27" ht="33" customHeight="1" x14ac:dyDescent="0.3">
      <c r="A101" s="53" t="s">
        <v>220</v>
      </c>
      <c r="B101" s="55" t="s">
        <v>223</v>
      </c>
      <c r="C101" s="12"/>
      <c r="D101" s="15"/>
      <c r="E101" s="22">
        <f>SUM(E102:E112)</f>
        <v>945735998</v>
      </c>
      <c r="F101" s="22">
        <f>SUM(F102:F112)</f>
        <v>366352723</v>
      </c>
      <c r="G101" s="22">
        <f>SUM(G102:G112)</f>
        <v>333431280</v>
      </c>
      <c r="H101" s="28">
        <f t="shared" si="18"/>
        <v>91.013730502557237</v>
      </c>
      <c r="I101" s="22">
        <f>SUM(I102:I112)</f>
        <v>0</v>
      </c>
      <c r="J101" s="19">
        <f t="shared" si="1"/>
        <v>333431280</v>
      </c>
      <c r="K101" s="28">
        <f t="shared" si="19"/>
        <v>91.013730502557237</v>
      </c>
      <c r="L101" s="22">
        <f t="shared" si="57"/>
        <v>32921443</v>
      </c>
      <c r="M101" s="32">
        <f t="shared" si="35"/>
        <v>8.9862694974427679</v>
      </c>
      <c r="N101" s="19">
        <f t="shared" si="3"/>
        <v>612304718</v>
      </c>
      <c r="O101" s="28">
        <f t="shared" si="4"/>
        <v>64.743725447151689</v>
      </c>
      <c r="Q101" s="47"/>
      <c r="R101" s="47"/>
      <c r="S101" s="47"/>
      <c r="T101" s="47"/>
      <c r="U101" s="56"/>
      <c r="V101" s="47"/>
      <c r="W101" s="47"/>
      <c r="X101" s="47"/>
      <c r="Y101" s="47"/>
      <c r="Z101" s="47"/>
      <c r="AA101" s="47"/>
    </row>
    <row r="102" spans="1:27" ht="33.75" customHeight="1" x14ac:dyDescent="0.3">
      <c r="A102" s="39" t="s">
        <v>222</v>
      </c>
      <c r="B102" s="40" t="s">
        <v>221</v>
      </c>
      <c r="C102" s="55"/>
      <c r="D102" s="62"/>
      <c r="E102" s="21">
        <v>16729327</v>
      </c>
      <c r="F102" s="93">
        <v>6779327</v>
      </c>
      <c r="G102" s="21">
        <v>1414215</v>
      </c>
      <c r="H102" s="29">
        <f t="shared" si="18"/>
        <v>20.860699004488204</v>
      </c>
      <c r="I102" s="21">
        <v>0</v>
      </c>
      <c r="J102" s="21">
        <f>G102+I102</f>
        <v>1414215</v>
      </c>
      <c r="K102" s="29">
        <f t="shared" si="19"/>
        <v>20.860699004488204</v>
      </c>
      <c r="L102" s="21">
        <f t="shared" si="57"/>
        <v>5365112</v>
      </c>
      <c r="M102" s="29">
        <f t="shared" si="35"/>
        <v>79.139300995511803</v>
      </c>
      <c r="N102" s="21">
        <f t="shared" si="3"/>
        <v>15315112</v>
      </c>
      <c r="O102" s="29">
        <f t="shared" si="4"/>
        <v>91.546491977830314</v>
      </c>
      <c r="Q102" s="47"/>
      <c r="R102" s="47"/>
      <c r="S102" s="47"/>
      <c r="T102" s="47"/>
      <c r="U102" s="56"/>
      <c r="V102" s="47"/>
      <c r="W102" s="47"/>
      <c r="X102" s="47"/>
      <c r="Y102" s="47"/>
      <c r="Z102" s="47"/>
      <c r="AA102" s="47"/>
    </row>
    <row r="103" spans="1:27" ht="34.5" customHeight="1" x14ac:dyDescent="0.3">
      <c r="A103" s="39" t="s">
        <v>224</v>
      </c>
      <c r="B103" s="40" t="s">
        <v>226</v>
      </c>
      <c r="C103" s="55"/>
      <c r="D103" s="62"/>
      <c r="E103" s="21">
        <v>101607900</v>
      </c>
      <c r="F103" s="93">
        <v>27592820</v>
      </c>
      <c r="G103" s="21">
        <v>25592820</v>
      </c>
      <c r="H103" s="29">
        <f t="shared" si="18"/>
        <v>92.751737589706309</v>
      </c>
      <c r="I103" s="21">
        <v>0</v>
      </c>
      <c r="J103" s="21">
        <f t="shared" si="1"/>
        <v>25592820</v>
      </c>
      <c r="K103" s="29">
        <f t="shared" si="19"/>
        <v>92.751737589706309</v>
      </c>
      <c r="L103" s="21">
        <f t="shared" si="57"/>
        <v>2000000</v>
      </c>
      <c r="M103" s="29">
        <f t="shared" si="35"/>
        <v>7.2482624102936919</v>
      </c>
      <c r="N103" s="21">
        <f t="shared" si="3"/>
        <v>76015080</v>
      </c>
      <c r="O103" s="29">
        <f t="shared" si="4"/>
        <v>74.812175037570896</v>
      </c>
      <c r="Q103" s="47"/>
      <c r="R103" s="47"/>
      <c r="S103" s="47"/>
      <c r="T103" s="47"/>
      <c r="U103" s="56"/>
      <c r="V103" s="47"/>
      <c r="W103" s="47"/>
      <c r="X103" s="47"/>
      <c r="Y103" s="47"/>
      <c r="Z103" s="47"/>
      <c r="AA103" s="47"/>
    </row>
    <row r="104" spans="1:27" ht="33" customHeight="1" x14ac:dyDescent="0.3">
      <c r="A104" s="39" t="s">
        <v>225</v>
      </c>
      <c r="B104" s="40" t="s">
        <v>227</v>
      </c>
      <c r="C104" s="55"/>
      <c r="D104" s="62"/>
      <c r="E104" s="21">
        <v>611000</v>
      </c>
      <c r="F104" s="93">
        <v>341000</v>
      </c>
      <c r="G104" s="21">
        <v>61875</v>
      </c>
      <c r="H104" s="29">
        <f t="shared" si="18"/>
        <v>18.14516129032258</v>
      </c>
      <c r="I104" s="21">
        <v>0</v>
      </c>
      <c r="J104" s="21">
        <f t="shared" si="1"/>
        <v>61875</v>
      </c>
      <c r="K104" s="29">
        <f t="shared" si="19"/>
        <v>18.14516129032258</v>
      </c>
      <c r="L104" s="21">
        <f t="shared" si="57"/>
        <v>279125</v>
      </c>
      <c r="M104" s="29">
        <f t="shared" si="35"/>
        <v>81.854838709677423</v>
      </c>
      <c r="N104" s="21">
        <f t="shared" si="3"/>
        <v>549125</v>
      </c>
      <c r="O104" s="29">
        <f t="shared" si="4"/>
        <v>89.873158756137485</v>
      </c>
      <c r="Q104" s="47"/>
      <c r="R104" s="47"/>
      <c r="S104" s="47"/>
      <c r="T104" s="47"/>
      <c r="U104" s="56"/>
      <c r="V104" s="47"/>
      <c r="W104" s="47"/>
      <c r="X104" s="47"/>
      <c r="Y104" s="47"/>
      <c r="Z104" s="47"/>
      <c r="AA104" s="47"/>
    </row>
    <row r="105" spans="1:27" ht="34.5" customHeight="1" x14ac:dyDescent="0.3">
      <c r="A105" s="39" t="s">
        <v>228</v>
      </c>
      <c r="B105" s="40" t="s">
        <v>229</v>
      </c>
      <c r="C105" s="55"/>
      <c r="D105" s="62"/>
      <c r="E105" s="21">
        <v>16343308</v>
      </c>
      <c r="F105" s="93">
        <v>6350000</v>
      </c>
      <c r="G105" s="21">
        <v>3825000</v>
      </c>
      <c r="H105" s="29">
        <f t="shared" si="18"/>
        <v>60.236220472440948</v>
      </c>
      <c r="I105" s="21">
        <v>0</v>
      </c>
      <c r="J105" s="21">
        <f t="shared" si="1"/>
        <v>3825000</v>
      </c>
      <c r="K105" s="29">
        <f t="shared" si="19"/>
        <v>60.236220472440948</v>
      </c>
      <c r="L105" s="21">
        <f t="shared" si="57"/>
        <v>2525000</v>
      </c>
      <c r="M105" s="29">
        <f t="shared" si="35"/>
        <v>39.763779527559059</v>
      </c>
      <c r="N105" s="21">
        <f t="shared" si="3"/>
        <v>12518308</v>
      </c>
      <c r="O105" s="29">
        <f t="shared" si="4"/>
        <v>76.595925378142539</v>
      </c>
      <c r="Q105" s="47"/>
      <c r="R105" s="47"/>
      <c r="S105" s="47"/>
      <c r="T105" s="47"/>
      <c r="U105" s="56"/>
      <c r="V105" s="47"/>
      <c r="W105" s="47"/>
      <c r="X105" s="47"/>
      <c r="Y105" s="47"/>
      <c r="Z105" s="47"/>
      <c r="AA105" s="47"/>
    </row>
    <row r="106" spans="1:27" ht="33" customHeight="1" x14ac:dyDescent="0.3">
      <c r="A106" s="39" t="s">
        <v>230</v>
      </c>
      <c r="B106" s="40" t="s">
        <v>231</v>
      </c>
      <c r="C106" s="55"/>
      <c r="D106" s="62"/>
      <c r="E106" s="21">
        <v>268763268</v>
      </c>
      <c r="F106" s="93">
        <v>76181000</v>
      </c>
      <c r="G106" s="21">
        <v>71181006</v>
      </c>
      <c r="H106" s="29">
        <f t="shared" si="18"/>
        <v>93.436691563513207</v>
      </c>
      <c r="I106" s="21">
        <v>0</v>
      </c>
      <c r="J106" s="21">
        <f t="shared" si="1"/>
        <v>71181006</v>
      </c>
      <c r="K106" s="29">
        <f t="shared" si="19"/>
        <v>93.436691563513207</v>
      </c>
      <c r="L106" s="21">
        <f t="shared" si="57"/>
        <v>4999994</v>
      </c>
      <c r="M106" s="29">
        <f t="shared" si="35"/>
        <v>6.5633084364867882</v>
      </c>
      <c r="N106" s="21">
        <f t="shared" si="3"/>
        <v>197582262</v>
      </c>
      <c r="O106" s="29">
        <f t="shared" si="4"/>
        <v>73.515351807673355</v>
      </c>
      <c r="Q106" s="47"/>
      <c r="R106" s="47"/>
      <c r="S106" s="47"/>
      <c r="T106" s="47"/>
      <c r="U106" s="56"/>
      <c r="V106" s="47"/>
      <c r="W106" s="47"/>
      <c r="X106" s="47"/>
      <c r="Y106" s="47"/>
      <c r="Z106" s="47"/>
      <c r="AA106" s="47"/>
    </row>
    <row r="107" spans="1:27" ht="33" customHeight="1" x14ac:dyDescent="0.3">
      <c r="A107" s="39" t="s">
        <v>392</v>
      </c>
      <c r="B107" s="40" t="s">
        <v>393</v>
      </c>
      <c r="C107" s="55"/>
      <c r="D107" s="62"/>
      <c r="E107" s="21">
        <v>2884560</v>
      </c>
      <c r="F107" s="21">
        <v>0</v>
      </c>
      <c r="G107" s="21">
        <v>0</v>
      </c>
      <c r="H107" s="29">
        <v>0</v>
      </c>
      <c r="I107" s="21">
        <v>0</v>
      </c>
      <c r="J107" s="21">
        <f t="shared" si="1"/>
        <v>0</v>
      </c>
      <c r="K107" s="29">
        <v>0</v>
      </c>
      <c r="L107" s="21">
        <f t="shared" si="57"/>
        <v>0</v>
      </c>
      <c r="M107" s="29">
        <v>0</v>
      </c>
      <c r="N107" s="21">
        <f t="shared" si="3"/>
        <v>2884560</v>
      </c>
      <c r="O107" s="29">
        <f t="shared" si="4"/>
        <v>100</v>
      </c>
      <c r="Q107" s="47"/>
      <c r="R107" s="47"/>
      <c r="S107" s="47"/>
      <c r="T107" s="47"/>
      <c r="U107" s="56"/>
      <c r="V107" s="47"/>
      <c r="W107" s="47"/>
      <c r="X107" s="47"/>
      <c r="Y107" s="47"/>
      <c r="Z107" s="47"/>
      <c r="AA107" s="47"/>
    </row>
    <row r="108" spans="1:27" ht="33" customHeight="1" x14ac:dyDescent="0.3">
      <c r="A108" s="39" t="s">
        <v>232</v>
      </c>
      <c r="B108" s="40" t="s">
        <v>233</v>
      </c>
      <c r="C108" s="55"/>
      <c r="D108" s="62"/>
      <c r="E108" s="21">
        <v>386750</v>
      </c>
      <c r="F108" s="93">
        <v>108576</v>
      </c>
      <c r="G108" s="21">
        <v>0</v>
      </c>
      <c r="H108" s="29">
        <f t="shared" si="18"/>
        <v>0</v>
      </c>
      <c r="I108" s="21">
        <v>0</v>
      </c>
      <c r="J108" s="21">
        <f t="shared" si="1"/>
        <v>0</v>
      </c>
      <c r="K108" s="29">
        <f t="shared" si="19"/>
        <v>0</v>
      </c>
      <c r="L108" s="21">
        <f t="shared" si="57"/>
        <v>108576</v>
      </c>
      <c r="M108" s="29">
        <f t="shared" si="35"/>
        <v>100</v>
      </c>
      <c r="N108" s="21">
        <f t="shared" si="3"/>
        <v>386750</v>
      </c>
      <c r="O108" s="29">
        <f t="shared" si="4"/>
        <v>100</v>
      </c>
      <c r="Q108" s="47"/>
      <c r="R108" s="47"/>
      <c r="S108" s="47"/>
      <c r="T108" s="47"/>
      <c r="U108" s="56"/>
      <c r="V108" s="47"/>
      <c r="W108" s="47"/>
      <c r="X108" s="47"/>
      <c r="Y108" s="47"/>
      <c r="Z108" s="47"/>
      <c r="AA108" s="47"/>
    </row>
    <row r="109" spans="1:27" ht="33" customHeight="1" x14ac:dyDescent="0.3">
      <c r="A109" s="39" t="s">
        <v>394</v>
      </c>
      <c r="B109" s="40" t="s">
        <v>395</v>
      </c>
      <c r="C109" s="55"/>
      <c r="D109" s="62"/>
      <c r="E109" s="21">
        <v>338198</v>
      </c>
      <c r="F109" s="21">
        <v>0</v>
      </c>
      <c r="G109" s="21">
        <v>0</v>
      </c>
      <c r="H109" s="29">
        <v>0</v>
      </c>
      <c r="I109" s="21">
        <v>0</v>
      </c>
      <c r="J109" s="21">
        <f t="shared" si="1"/>
        <v>0</v>
      </c>
      <c r="K109" s="29">
        <v>0</v>
      </c>
      <c r="L109" s="21">
        <f t="shared" si="57"/>
        <v>0</v>
      </c>
      <c r="M109" s="29">
        <v>0</v>
      </c>
      <c r="N109" s="21">
        <f t="shared" si="3"/>
        <v>338198</v>
      </c>
      <c r="O109" s="29">
        <f t="shared" si="4"/>
        <v>100</v>
      </c>
      <c r="Q109" s="47"/>
      <c r="R109" s="47"/>
      <c r="S109" s="47"/>
      <c r="T109" s="47"/>
      <c r="U109" s="56"/>
      <c r="V109" s="47"/>
      <c r="W109" s="47"/>
      <c r="X109" s="47"/>
      <c r="Y109" s="47"/>
      <c r="Z109" s="47"/>
      <c r="AA109" s="47"/>
    </row>
    <row r="110" spans="1:27" ht="33" customHeight="1" x14ac:dyDescent="0.3">
      <c r="A110" s="39" t="s">
        <v>235</v>
      </c>
      <c r="B110" s="40" t="s">
        <v>234</v>
      </c>
      <c r="C110" s="55"/>
      <c r="D110" s="62"/>
      <c r="E110" s="21">
        <v>322414950</v>
      </c>
      <c r="F110" s="93">
        <v>110000000</v>
      </c>
      <c r="G110" s="21">
        <v>108871932</v>
      </c>
      <c r="H110" s="29">
        <f t="shared" si="18"/>
        <v>98.974483636363644</v>
      </c>
      <c r="I110" s="21">
        <v>0</v>
      </c>
      <c r="J110" s="21">
        <f t="shared" si="1"/>
        <v>108871932</v>
      </c>
      <c r="K110" s="29">
        <f t="shared" si="19"/>
        <v>98.974483636363644</v>
      </c>
      <c r="L110" s="21">
        <f t="shared" si="57"/>
        <v>1128068</v>
      </c>
      <c r="M110" s="29">
        <f t="shared" si="35"/>
        <v>1.0255163636363636</v>
      </c>
      <c r="N110" s="21">
        <f t="shared" si="3"/>
        <v>213543018</v>
      </c>
      <c r="O110" s="29">
        <f t="shared" si="4"/>
        <v>66.232356160903834</v>
      </c>
      <c r="Q110" s="47"/>
      <c r="R110" s="47"/>
      <c r="S110" s="47"/>
      <c r="T110" s="47"/>
      <c r="U110" s="56"/>
      <c r="V110" s="47"/>
      <c r="W110" s="47"/>
      <c r="X110" s="56"/>
      <c r="Y110" s="47"/>
      <c r="Z110" s="47"/>
      <c r="AA110" s="47"/>
    </row>
    <row r="111" spans="1:27" ht="33" customHeight="1" x14ac:dyDescent="0.3">
      <c r="A111" s="39" t="s">
        <v>317</v>
      </c>
      <c r="B111" s="40" t="s">
        <v>318</v>
      </c>
      <c r="C111" s="55"/>
      <c r="D111" s="62"/>
      <c r="E111" s="21">
        <v>62159805</v>
      </c>
      <c r="F111" s="93">
        <v>29000000</v>
      </c>
      <c r="G111" s="21">
        <v>13612500</v>
      </c>
      <c r="H111" s="29">
        <f t="shared" si="18"/>
        <v>46.939655172413794</v>
      </c>
      <c r="I111" s="21">
        <v>0</v>
      </c>
      <c r="J111" s="21">
        <f t="shared" si="1"/>
        <v>13612500</v>
      </c>
      <c r="K111" s="29">
        <f t="shared" si="19"/>
        <v>46.939655172413794</v>
      </c>
      <c r="L111" s="21">
        <f t="shared" si="57"/>
        <v>15387500</v>
      </c>
      <c r="M111" s="29">
        <f t="shared" si="35"/>
        <v>53.060344827586206</v>
      </c>
      <c r="N111" s="21">
        <f t="shared" si="3"/>
        <v>48547305</v>
      </c>
      <c r="O111" s="29">
        <f t="shared" si="4"/>
        <v>78.100800026641011</v>
      </c>
      <c r="Q111" s="47"/>
      <c r="R111" s="47"/>
      <c r="S111" s="47"/>
      <c r="T111" s="47"/>
      <c r="U111" s="56"/>
      <c r="V111" s="47"/>
      <c r="W111" s="47"/>
      <c r="X111" s="47"/>
      <c r="Y111" s="47"/>
      <c r="Z111" s="47"/>
      <c r="AA111" s="47"/>
    </row>
    <row r="112" spans="1:27" ht="45" customHeight="1" x14ac:dyDescent="0.3">
      <c r="A112" s="39" t="s">
        <v>236</v>
      </c>
      <c r="B112" s="40" t="s">
        <v>237</v>
      </c>
      <c r="C112" s="55"/>
      <c r="D112" s="62"/>
      <c r="E112" s="21">
        <v>153496932</v>
      </c>
      <c r="F112" s="93">
        <v>110000000</v>
      </c>
      <c r="G112" s="21">
        <v>108871932</v>
      </c>
      <c r="H112" s="29">
        <f t="shared" si="18"/>
        <v>98.974483636363644</v>
      </c>
      <c r="I112" s="21">
        <v>0</v>
      </c>
      <c r="J112" s="21">
        <f t="shared" si="1"/>
        <v>108871932</v>
      </c>
      <c r="K112" s="29">
        <f t="shared" si="19"/>
        <v>98.974483636363644</v>
      </c>
      <c r="L112" s="21">
        <f t="shared" si="57"/>
        <v>1128068</v>
      </c>
      <c r="M112" s="29">
        <f t="shared" si="35"/>
        <v>1.0255163636363636</v>
      </c>
      <c r="N112" s="21">
        <f t="shared" si="3"/>
        <v>44625000</v>
      </c>
      <c r="O112" s="29">
        <f t="shared" si="4"/>
        <v>29.072242303839662</v>
      </c>
      <c r="Q112" s="47"/>
      <c r="R112" s="47"/>
      <c r="S112" s="47"/>
      <c r="T112" s="47"/>
      <c r="U112" s="56"/>
      <c r="V112" s="47"/>
      <c r="W112" s="47"/>
      <c r="X112" s="47"/>
      <c r="Y112" s="47"/>
      <c r="Z112" s="47"/>
      <c r="AA112" s="47"/>
    </row>
    <row r="113" spans="1:27" ht="33" customHeight="1" x14ac:dyDescent="0.3">
      <c r="A113" s="53" t="s">
        <v>238</v>
      </c>
      <c r="B113" s="55" t="s">
        <v>239</v>
      </c>
      <c r="C113" s="12"/>
      <c r="D113" s="15"/>
      <c r="E113" s="22">
        <f>SUM(E114:E133)</f>
        <v>20513024</v>
      </c>
      <c r="F113" s="22">
        <f>SUM(F114:F133)</f>
        <v>18339995</v>
      </c>
      <c r="G113" s="22">
        <f>SUM(G114:G131)</f>
        <v>0</v>
      </c>
      <c r="H113" s="28">
        <f t="shared" si="18"/>
        <v>0</v>
      </c>
      <c r="I113" s="22">
        <f>SUM(I114:I131)</f>
        <v>0</v>
      </c>
      <c r="J113" s="19">
        <f t="shared" si="1"/>
        <v>0</v>
      </c>
      <c r="K113" s="28">
        <f t="shared" si="19"/>
        <v>0</v>
      </c>
      <c r="L113" s="22">
        <f t="shared" si="57"/>
        <v>18339995</v>
      </c>
      <c r="M113" s="32">
        <f t="shared" si="35"/>
        <v>100</v>
      </c>
      <c r="N113" s="19">
        <f t="shared" si="3"/>
        <v>20513024</v>
      </c>
      <c r="O113" s="28">
        <f t="shared" si="4"/>
        <v>100</v>
      </c>
      <c r="Q113" s="47"/>
      <c r="R113" s="47"/>
      <c r="S113" s="47"/>
      <c r="T113" s="47"/>
      <c r="U113" s="56"/>
      <c r="V113" s="47"/>
      <c r="W113" s="47"/>
      <c r="X113" s="47"/>
      <c r="Y113" s="47"/>
      <c r="Z113" s="47"/>
      <c r="AA113" s="47"/>
    </row>
    <row r="114" spans="1:27" ht="36.6" customHeight="1" x14ac:dyDescent="0.3">
      <c r="A114" s="39" t="s">
        <v>240</v>
      </c>
      <c r="B114" s="40" t="s">
        <v>245</v>
      </c>
      <c r="C114" s="55"/>
      <c r="D114" s="62"/>
      <c r="E114" s="21">
        <v>122500</v>
      </c>
      <c r="F114" s="93">
        <v>61250</v>
      </c>
      <c r="G114" s="21">
        <v>0</v>
      </c>
      <c r="H114" s="29">
        <f t="shared" si="18"/>
        <v>0</v>
      </c>
      <c r="I114" s="21">
        <v>0</v>
      </c>
      <c r="J114" s="21">
        <f t="shared" si="1"/>
        <v>0</v>
      </c>
      <c r="K114" s="29">
        <f t="shared" si="19"/>
        <v>0</v>
      </c>
      <c r="L114" s="21">
        <f t="shared" si="57"/>
        <v>61250</v>
      </c>
      <c r="M114" s="29">
        <f t="shared" si="35"/>
        <v>100</v>
      </c>
      <c r="N114" s="21">
        <f t="shared" si="3"/>
        <v>122500</v>
      </c>
      <c r="O114" s="29">
        <f t="shared" si="4"/>
        <v>100</v>
      </c>
      <c r="Q114" s="47"/>
      <c r="R114" s="47"/>
      <c r="S114" s="47"/>
      <c r="T114" s="47"/>
      <c r="U114" s="56"/>
      <c r="V114" s="47"/>
      <c r="W114" s="47"/>
      <c r="X114" s="47"/>
      <c r="Y114" s="47"/>
      <c r="Z114" s="47"/>
      <c r="AA114" s="47"/>
    </row>
    <row r="115" spans="1:27" ht="36.6" customHeight="1" x14ac:dyDescent="0.3">
      <c r="A115" s="39" t="s">
        <v>241</v>
      </c>
      <c r="B115" s="40" t="s">
        <v>246</v>
      </c>
      <c r="C115" s="55"/>
      <c r="D115" s="62"/>
      <c r="E115" s="21">
        <v>688383</v>
      </c>
      <c r="F115" s="93">
        <v>688383</v>
      </c>
      <c r="G115" s="21">
        <v>0</v>
      </c>
      <c r="H115" s="29">
        <f t="shared" si="18"/>
        <v>0</v>
      </c>
      <c r="I115" s="21">
        <v>0</v>
      </c>
      <c r="J115" s="21">
        <f t="shared" si="1"/>
        <v>0</v>
      </c>
      <c r="K115" s="29">
        <f t="shared" si="19"/>
        <v>0</v>
      </c>
      <c r="L115" s="21">
        <f t="shared" si="57"/>
        <v>688383</v>
      </c>
      <c r="M115" s="29">
        <f t="shared" si="35"/>
        <v>100</v>
      </c>
      <c r="N115" s="21">
        <f t="shared" si="3"/>
        <v>688383</v>
      </c>
      <c r="O115" s="29">
        <f t="shared" si="4"/>
        <v>100</v>
      </c>
      <c r="Q115" s="47"/>
      <c r="R115" s="47"/>
      <c r="S115" s="47"/>
      <c r="T115" s="47"/>
      <c r="U115" s="56"/>
      <c r="V115" s="47"/>
      <c r="W115" s="47"/>
      <c r="X115" s="47"/>
      <c r="Y115" s="47"/>
      <c r="Z115" s="47"/>
      <c r="AA115" s="47"/>
    </row>
    <row r="116" spans="1:27" ht="34.799999999999997" customHeight="1" x14ac:dyDescent="0.3">
      <c r="A116" s="39" t="s">
        <v>242</v>
      </c>
      <c r="B116" s="40" t="s">
        <v>247</v>
      </c>
      <c r="C116" s="55"/>
      <c r="D116" s="62"/>
      <c r="E116" s="21">
        <v>1381299</v>
      </c>
      <c r="F116" s="93">
        <v>1381299</v>
      </c>
      <c r="G116" s="21">
        <v>0</v>
      </c>
      <c r="H116" s="29">
        <f t="shared" si="18"/>
        <v>0</v>
      </c>
      <c r="I116" s="21">
        <v>0</v>
      </c>
      <c r="J116" s="21">
        <f t="shared" si="1"/>
        <v>0</v>
      </c>
      <c r="K116" s="29">
        <f t="shared" si="19"/>
        <v>0</v>
      </c>
      <c r="L116" s="21">
        <f t="shared" si="57"/>
        <v>1381299</v>
      </c>
      <c r="M116" s="29">
        <f t="shared" si="35"/>
        <v>100</v>
      </c>
      <c r="N116" s="21">
        <f t="shared" si="3"/>
        <v>1381299</v>
      </c>
      <c r="O116" s="29">
        <f t="shared" si="4"/>
        <v>100</v>
      </c>
      <c r="Q116" s="47"/>
      <c r="R116" s="47"/>
      <c r="S116" s="47"/>
      <c r="T116" s="47"/>
      <c r="U116" s="56"/>
      <c r="V116" s="47"/>
      <c r="W116" s="47"/>
      <c r="X116" s="47"/>
      <c r="Y116" s="47"/>
      <c r="Z116" s="47"/>
      <c r="AA116" s="47"/>
    </row>
    <row r="117" spans="1:27" ht="33.75" customHeight="1" x14ac:dyDescent="0.3">
      <c r="A117" s="39" t="s">
        <v>243</v>
      </c>
      <c r="B117" s="40" t="s">
        <v>248</v>
      </c>
      <c r="C117" s="55"/>
      <c r="D117" s="62"/>
      <c r="E117" s="21">
        <v>749700</v>
      </c>
      <c r="F117" s="93">
        <v>749700</v>
      </c>
      <c r="G117" s="21">
        <v>0</v>
      </c>
      <c r="H117" s="29">
        <f t="shared" si="18"/>
        <v>0</v>
      </c>
      <c r="I117" s="21">
        <v>0</v>
      </c>
      <c r="J117" s="21">
        <f t="shared" si="1"/>
        <v>0</v>
      </c>
      <c r="K117" s="29">
        <f t="shared" si="19"/>
        <v>0</v>
      </c>
      <c r="L117" s="21">
        <f t="shared" si="57"/>
        <v>749700</v>
      </c>
      <c r="M117" s="29">
        <f t="shared" si="35"/>
        <v>100</v>
      </c>
      <c r="N117" s="21">
        <f t="shared" si="3"/>
        <v>749700</v>
      </c>
      <c r="O117" s="29">
        <f t="shared" si="4"/>
        <v>100</v>
      </c>
      <c r="Q117" s="47"/>
      <c r="R117" s="47"/>
      <c r="S117" s="47"/>
      <c r="T117" s="47"/>
      <c r="U117" s="56"/>
      <c r="V117" s="47"/>
      <c r="W117" s="47"/>
      <c r="X117" s="47"/>
      <c r="Y117" s="47"/>
      <c r="Z117" s="47"/>
      <c r="AA117" s="47"/>
    </row>
    <row r="118" spans="1:27" ht="33.75" customHeight="1" x14ac:dyDescent="0.3">
      <c r="A118" s="39" t="s">
        <v>396</v>
      </c>
      <c r="B118" s="40" t="s">
        <v>397</v>
      </c>
      <c r="C118" s="55"/>
      <c r="D118" s="62"/>
      <c r="E118" s="21">
        <v>105645</v>
      </c>
      <c r="F118" s="21">
        <v>0</v>
      </c>
      <c r="G118" s="21">
        <v>0</v>
      </c>
      <c r="H118" s="29">
        <v>0</v>
      </c>
      <c r="I118" s="21">
        <v>0</v>
      </c>
      <c r="J118" s="21">
        <f t="shared" ref="J118" si="58">G118+I118</f>
        <v>0</v>
      </c>
      <c r="K118" s="29">
        <v>0</v>
      </c>
      <c r="L118" s="21">
        <f t="shared" ref="L118" si="59">F118-J118</f>
        <v>0</v>
      </c>
      <c r="M118" s="29">
        <v>0</v>
      </c>
      <c r="N118" s="21">
        <f t="shared" ref="N118" si="60">E118-J118</f>
        <v>105645</v>
      </c>
      <c r="O118" s="29">
        <f t="shared" ref="O118" si="61">N118/E118*100</f>
        <v>100</v>
      </c>
      <c r="Q118" s="47"/>
      <c r="R118" s="47"/>
      <c r="S118" s="47"/>
      <c r="T118" s="47"/>
      <c r="U118" s="56"/>
      <c r="V118" s="47"/>
      <c r="W118" s="47"/>
      <c r="X118" s="47"/>
      <c r="Y118" s="47"/>
      <c r="Z118" s="47"/>
      <c r="AA118" s="47"/>
    </row>
    <row r="119" spans="1:27" ht="39.75" customHeight="1" x14ac:dyDescent="0.3">
      <c r="A119" s="39" t="s">
        <v>244</v>
      </c>
      <c r="B119" s="40" t="s">
        <v>249</v>
      </c>
      <c r="C119" s="55"/>
      <c r="D119" s="62"/>
      <c r="E119" s="21">
        <v>210000</v>
      </c>
      <c r="F119" s="93">
        <v>210000</v>
      </c>
      <c r="G119" s="21">
        <v>0</v>
      </c>
      <c r="H119" s="29">
        <f t="shared" si="18"/>
        <v>0</v>
      </c>
      <c r="I119" s="21">
        <v>0</v>
      </c>
      <c r="J119" s="21">
        <f t="shared" si="1"/>
        <v>0</v>
      </c>
      <c r="K119" s="29">
        <f t="shared" si="19"/>
        <v>0</v>
      </c>
      <c r="L119" s="21">
        <f t="shared" si="57"/>
        <v>210000</v>
      </c>
      <c r="M119" s="29">
        <f t="shared" si="35"/>
        <v>100</v>
      </c>
      <c r="N119" s="21">
        <f t="shared" si="3"/>
        <v>210000</v>
      </c>
      <c r="O119" s="29">
        <f t="shared" si="4"/>
        <v>100</v>
      </c>
      <c r="Q119" s="47"/>
      <c r="R119" s="47"/>
      <c r="S119" s="47"/>
      <c r="T119" s="47"/>
      <c r="U119" s="56"/>
      <c r="V119" s="47"/>
      <c r="W119" s="47"/>
      <c r="X119" s="47"/>
      <c r="Y119" s="47"/>
      <c r="Z119" s="47"/>
      <c r="AA119" s="47"/>
    </row>
    <row r="120" spans="1:27" ht="46.2" customHeight="1" x14ac:dyDescent="0.3">
      <c r="A120" s="39" t="s">
        <v>250</v>
      </c>
      <c r="B120" s="40" t="s">
        <v>255</v>
      </c>
      <c r="C120" s="55"/>
      <c r="D120" s="62"/>
      <c r="E120" s="21">
        <v>1313559</v>
      </c>
      <c r="F120" s="93">
        <v>1313559</v>
      </c>
      <c r="G120" s="21">
        <v>0</v>
      </c>
      <c r="H120" s="29">
        <f t="shared" si="18"/>
        <v>0</v>
      </c>
      <c r="I120" s="21">
        <v>0</v>
      </c>
      <c r="J120" s="21">
        <f t="shared" si="1"/>
        <v>0</v>
      </c>
      <c r="K120" s="29">
        <f t="shared" si="19"/>
        <v>0</v>
      </c>
      <c r="L120" s="21">
        <f t="shared" si="57"/>
        <v>1313559</v>
      </c>
      <c r="M120" s="29">
        <f t="shared" si="35"/>
        <v>100</v>
      </c>
      <c r="N120" s="21">
        <f t="shared" si="3"/>
        <v>1313559</v>
      </c>
      <c r="O120" s="29">
        <f t="shared" si="4"/>
        <v>100</v>
      </c>
      <c r="Q120" s="47"/>
      <c r="R120" s="47"/>
      <c r="S120" s="47"/>
      <c r="T120" s="47"/>
      <c r="U120" s="56"/>
      <c r="V120" s="47"/>
      <c r="W120" s="47"/>
      <c r="X120" s="47"/>
      <c r="Y120" s="47"/>
      <c r="Z120" s="47"/>
      <c r="AA120" s="47"/>
    </row>
    <row r="121" spans="1:27" ht="34.5" customHeight="1" x14ac:dyDescent="0.3">
      <c r="A121" s="39" t="s">
        <v>251</v>
      </c>
      <c r="B121" s="40" t="s">
        <v>256</v>
      </c>
      <c r="C121" s="55"/>
      <c r="D121" s="62"/>
      <c r="E121" s="21">
        <v>2937762</v>
      </c>
      <c r="F121" s="93">
        <v>2937762</v>
      </c>
      <c r="G121" s="21">
        <v>0</v>
      </c>
      <c r="H121" s="29">
        <f t="shared" si="18"/>
        <v>0</v>
      </c>
      <c r="I121" s="21">
        <v>0</v>
      </c>
      <c r="J121" s="21">
        <f t="shared" si="1"/>
        <v>0</v>
      </c>
      <c r="K121" s="29">
        <f t="shared" si="19"/>
        <v>0</v>
      </c>
      <c r="L121" s="21">
        <f t="shared" si="57"/>
        <v>2937762</v>
      </c>
      <c r="M121" s="29">
        <f t="shared" si="35"/>
        <v>100</v>
      </c>
      <c r="N121" s="21">
        <f t="shared" si="3"/>
        <v>2937762</v>
      </c>
      <c r="O121" s="29">
        <f t="shared" si="4"/>
        <v>100</v>
      </c>
      <c r="Q121" s="47"/>
      <c r="R121" s="47"/>
      <c r="S121" s="47"/>
      <c r="T121" s="47"/>
      <c r="U121" s="56"/>
      <c r="V121" s="47"/>
      <c r="W121" s="47"/>
      <c r="X121" s="47"/>
      <c r="Y121" s="47"/>
      <c r="Z121" s="47"/>
      <c r="AA121" s="47"/>
    </row>
    <row r="122" spans="1:27" ht="50.4" customHeight="1" x14ac:dyDescent="0.3">
      <c r="A122" s="39" t="s">
        <v>398</v>
      </c>
      <c r="B122" s="40" t="s">
        <v>399</v>
      </c>
      <c r="C122" s="55"/>
      <c r="D122" s="62"/>
      <c r="E122" s="21">
        <v>128503</v>
      </c>
      <c r="F122" s="21">
        <v>0</v>
      </c>
      <c r="G122" s="21">
        <v>0</v>
      </c>
      <c r="H122" s="29">
        <v>0</v>
      </c>
      <c r="I122" s="21">
        <v>0</v>
      </c>
      <c r="J122" s="21">
        <f t="shared" ref="J122" si="62">G122+I122</f>
        <v>0</v>
      </c>
      <c r="K122" s="29">
        <v>0</v>
      </c>
      <c r="L122" s="21">
        <f t="shared" ref="L122" si="63">F122-J122</f>
        <v>0</v>
      </c>
      <c r="M122" s="29">
        <v>0</v>
      </c>
      <c r="N122" s="21">
        <f t="shared" ref="N122" si="64">E122-J122</f>
        <v>128503</v>
      </c>
      <c r="O122" s="29">
        <f t="shared" ref="O122" si="65">N122/E122*100</f>
        <v>100</v>
      </c>
      <c r="Q122" s="47"/>
      <c r="R122" s="47"/>
      <c r="S122" s="47"/>
      <c r="T122" s="47"/>
      <c r="U122" s="56"/>
      <c r="V122" s="47"/>
      <c r="W122" s="47"/>
      <c r="X122" s="47"/>
      <c r="Y122" s="47"/>
      <c r="Z122" s="47"/>
      <c r="AA122" s="47"/>
    </row>
    <row r="123" spans="1:27" ht="34.5" customHeight="1" x14ac:dyDescent="0.3">
      <c r="A123" s="39" t="s">
        <v>252</v>
      </c>
      <c r="B123" s="40" t="s">
        <v>257</v>
      </c>
      <c r="C123" s="55"/>
      <c r="D123" s="62"/>
      <c r="E123" s="21">
        <v>194040</v>
      </c>
      <c r="F123" s="93">
        <v>194040</v>
      </c>
      <c r="G123" s="21">
        <v>0</v>
      </c>
      <c r="H123" s="29">
        <f t="shared" si="18"/>
        <v>0</v>
      </c>
      <c r="I123" s="21">
        <v>0</v>
      </c>
      <c r="J123" s="21">
        <f t="shared" si="1"/>
        <v>0</v>
      </c>
      <c r="K123" s="29">
        <f t="shared" si="19"/>
        <v>0</v>
      </c>
      <c r="L123" s="21">
        <f t="shared" si="57"/>
        <v>194040</v>
      </c>
      <c r="M123" s="29">
        <f t="shared" si="35"/>
        <v>100</v>
      </c>
      <c r="N123" s="21">
        <f t="shared" si="3"/>
        <v>194040</v>
      </c>
      <c r="O123" s="29">
        <f t="shared" si="4"/>
        <v>100</v>
      </c>
      <c r="Q123" s="47"/>
      <c r="R123" s="47"/>
      <c r="S123" s="47"/>
      <c r="T123" s="47"/>
      <c r="U123" s="56"/>
      <c r="V123" s="47"/>
      <c r="W123" s="47"/>
      <c r="X123" s="47"/>
      <c r="Y123" s="47"/>
      <c r="Z123" s="47"/>
      <c r="AA123" s="47"/>
    </row>
    <row r="124" spans="1:27" ht="39" customHeight="1" x14ac:dyDescent="0.3">
      <c r="A124" s="39" t="s">
        <v>253</v>
      </c>
      <c r="B124" s="40" t="s">
        <v>258</v>
      </c>
      <c r="C124" s="55"/>
      <c r="D124" s="62"/>
      <c r="E124" s="21">
        <v>62517</v>
      </c>
      <c r="F124" s="93">
        <v>62517</v>
      </c>
      <c r="G124" s="21">
        <v>0</v>
      </c>
      <c r="H124" s="29">
        <f t="shared" si="18"/>
        <v>0</v>
      </c>
      <c r="I124" s="21">
        <v>0</v>
      </c>
      <c r="J124" s="21">
        <f t="shared" si="1"/>
        <v>0</v>
      </c>
      <c r="K124" s="29">
        <f t="shared" si="19"/>
        <v>0</v>
      </c>
      <c r="L124" s="21">
        <f t="shared" si="57"/>
        <v>62517</v>
      </c>
      <c r="M124" s="29">
        <f t="shared" si="35"/>
        <v>100</v>
      </c>
      <c r="N124" s="21">
        <f t="shared" si="3"/>
        <v>62517</v>
      </c>
      <c r="O124" s="29">
        <f t="shared" si="4"/>
        <v>100</v>
      </c>
      <c r="Q124" s="47"/>
      <c r="R124" s="47"/>
      <c r="S124" s="47"/>
      <c r="T124" s="47"/>
      <c r="U124" s="56"/>
      <c r="V124" s="47"/>
      <c r="W124" s="47"/>
      <c r="X124" s="47"/>
      <c r="Y124" s="47"/>
      <c r="Z124" s="47"/>
      <c r="AA124" s="47"/>
    </row>
    <row r="125" spans="1:27" ht="31.2" customHeight="1" x14ac:dyDescent="0.3">
      <c r="A125" s="39" t="s">
        <v>400</v>
      </c>
      <c r="B125" s="40" t="s">
        <v>401</v>
      </c>
      <c r="C125" s="55"/>
      <c r="D125" s="62"/>
      <c r="E125" s="21">
        <v>550221</v>
      </c>
      <c r="F125" s="21">
        <v>0</v>
      </c>
      <c r="G125" s="21">
        <v>0</v>
      </c>
      <c r="H125" s="29">
        <v>0</v>
      </c>
      <c r="I125" s="21">
        <v>0</v>
      </c>
      <c r="J125" s="21">
        <f t="shared" ref="J125:J126" si="66">G125+I125</f>
        <v>0</v>
      </c>
      <c r="K125" s="29">
        <v>0</v>
      </c>
      <c r="L125" s="21">
        <f t="shared" ref="L125:L126" si="67">F125-J125</f>
        <v>0</v>
      </c>
      <c r="M125" s="29">
        <v>0</v>
      </c>
      <c r="N125" s="21">
        <f t="shared" ref="N125:N126" si="68">E125-J125</f>
        <v>550221</v>
      </c>
      <c r="O125" s="29">
        <f t="shared" ref="O125:O126" si="69">N125/E125*100</f>
        <v>100</v>
      </c>
      <c r="Q125" s="47"/>
      <c r="R125" s="47"/>
      <c r="S125" s="47"/>
      <c r="T125" s="47"/>
      <c r="U125" s="56"/>
      <c r="V125" s="47"/>
      <c r="W125" s="47"/>
      <c r="X125" s="47"/>
      <c r="Y125" s="47"/>
      <c r="Z125" s="47"/>
      <c r="AA125" s="47"/>
    </row>
    <row r="126" spans="1:27" ht="34.799999999999997" customHeight="1" x14ac:dyDescent="0.3">
      <c r="A126" s="39" t="s">
        <v>402</v>
      </c>
      <c r="B126" s="40" t="s">
        <v>403</v>
      </c>
      <c r="C126" s="55"/>
      <c r="D126" s="62"/>
      <c r="E126" s="21">
        <v>183750</v>
      </c>
      <c r="F126" s="21">
        <v>0</v>
      </c>
      <c r="G126" s="21">
        <v>0</v>
      </c>
      <c r="H126" s="29">
        <v>0</v>
      </c>
      <c r="I126" s="21">
        <v>0</v>
      </c>
      <c r="J126" s="21">
        <f t="shared" si="66"/>
        <v>0</v>
      </c>
      <c r="K126" s="29">
        <v>0</v>
      </c>
      <c r="L126" s="21">
        <f t="shared" si="67"/>
        <v>0</v>
      </c>
      <c r="M126" s="29">
        <v>0</v>
      </c>
      <c r="N126" s="21">
        <f t="shared" si="68"/>
        <v>183750</v>
      </c>
      <c r="O126" s="29">
        <f t="shared" si="69"/>
        <v>100</v>
      </c>
      <c r="Q126" s="47"/>
      <c r="R126" s="47"/>
      <c r="S126" s="47"/>
      <c r="T126" s="47"/>
      <c r="U126" s="56"/>
      <c r="V126" s="47"/>
      <c r="W126" s="47"/>
      <c r="X126" s="47"/>
      <c r="Y126" s="47"/>
      <c r="Z126" s="47"/>
      <c r="AA126" s="47"/>
    </row>
    <row r="127" spans="1:27" ht="34.200000000000003" customHeight="1" x14ac:dyDescent="0.3">
      <c r="A127" s="39" t="s">
        <v>254</v>
      </c>
      <c r="B127" s="40" t="s">
        <v>259</v>
      </c>
      <c r="C127" s="55"/>
      <c r="D127" s="62"/>
      <c r="E127" s="21">
        <v>26250</v>
      </c>
      <c r="F127" s="93">
        <v>26250</v>
      </c>
      <c r="G127" s="21">
        <v>0</v>
      </c>
      <c r="H127" s="29">
        <f t="shared" si="18"/>
        <v>0</v>
      </c>
      <c r="I127" s="21">
        <v>0</v>
      </c>
      <c r="J127" s="21">
        <f t="shared" si="1"/>
        <v>0</v>
      </c>
      <c r="K127" s="29">
        <f t="shared" si="19"/>
        <v>0</v>
      </c>
      <c r="L127" s="21">
        <f t="shared" si="57"/>
        <v>26250</v>
      </c>
      <c r="M127" s="29">
        <f t="shared" si="35"/>
        <v>100</v>
      </c>
      <c r="N127" s="21">
        <f t="shared" si="3"/>
        <v>26250</v>
      </c>
      <c r="O127" s="29">
        <f t="shared" si="4"/>
        <v>100</v>
      </c>
      <c r="Q127" s="47"/>
      <c r="R127" s="47"/>
      <c r="S127" s="47"/>
      <c r="T127" s="47"/>
      <c r="U127" s="56"/>
      <c r="V127" s="47"/>
      <c r="W127" s="47"/>
      <c r="X127" s="47"/>
      <c r="Y127" s="47"/>
      <c r="Z127" s="47"/>
      <c r="AA127" s="47"/>
    </row>
    <row r="128" spans="1:27" ht="33" customHeight="1" x14ac:dyDescent="0.3">
      <c r="A128" s="39" t="s">
        <v>260</v>
      </c>
      <c r="B128" s="40" t="s">
        <v>261</v>
      </c>
      <c r="C128" s="55"/>
      <c r="D128" s="62"/>
      <c r="E128" s="21">
        <v>1668645</v>
      </c>
      <c r="F128" s="93">
        <v>1668645</v>
      </c>
      <c r="G128" s="21">
        <v>0</v>
      </c>
      <c r="H128" s="29">
        <f t="shared" si="18"/>
        <v>0</v>
      </c>
      <c r="I128" s="21">
        <v>0</v>
      </c>
      <c r="J128" s="21">
        <f t="shared" si="1"/>
        <v>0</v>
      </c>
      <c r="K128" s="29">
        <f t="shared" si="19"/>
        <v>0</v>
      </c>
      <c r="L128" s="21">
        <f t="shared" si="57"/>
        <v>1668645</v>
      </c>
      <c r="M128" s="29">
        <f t="shared" si="35"/>
        <v>100</v>
      </c>
      <c r="N128" s="21">
        <f t="shared" si="3"/>
        <v>1668645</v>
      </c>
      <c r="O128" s="29">
        <f t="shared" si="4"/>
        <v>100</v>
      </c>
      <c r="Q128" s="47"/>
      <c r="R128" s="47"/>
      <c r="S128" s="47"/>
      <c r="T128" s="47"/>
      <c r="U128" s="56"/>
      <c r="V128" s="47"/>
      <c r="W128" s="47"/>
      <c r="X128" s="47"/>
      <c r="Y128" s="47"/>
      <c r="Z128" s="47"/>
      <c r="AA128" s="47"/>
    </row>
    <row r="129" spans="1:27" ht="36.6" customHeight="1" x14ac:dyDescent="0.3">
      <c r="A129" s="39" t="s">
        <v>404</v>
      </c>
      <c r="B129" s="40" t="s">
        <v>405</v>
      </c>
      <c r="C129" s="55"/>
      <c r="D129" s="62"/>
      <c r="E129" s="21">
        <v>955500</v>
      </c>
      <c r="F129" s="21">
        <v>0</v>
      </c>
      <c r="G129" s="21">
        <v>0</v>
      </c>
      <c r="H129" s="29">
        <v>0</v>
      </c>
      <c r="I129" s="21">
        <v>0</v>
      </c>
      <c r="J129" s="21">
        <f t="shared" ref="J129" si="70">G129+I129</f>
        <v>0</v>
      </c>
      <c r="K129" s="29">
        <v>0</v>
      </c>
      <c r="L129" s="21">
        <f t="shared" ref="L129" si="71">F129-J129</f>
        <v>0</v>
      </c>
      <c r="M129" s="29">
        <v>0</v>
      </c>
      <c r="N129" s="21">
        <f t="shared" ref="N129" si="72">E129-J129</f>
        <v>955500</v>
      </c>
      <c r="O129" s="29">
        <f t="shared" ref="O129" si="73">N129/E129*100</f>
        <v>100</v>
      </c>
      <c r="Q129" s="47"/>
      <c r="R129" s="47"/>
      <c r="S129" s="47"/>
      <c r="T129" s="47"/>
      <c r="U129" s="56"/>
      <c r="V129" s="47"/>
      <c r="W129" s="47"/>
      <c r="X129" s="47"/>
      <c r="Y129" s="47"/>
      <c r="Z129" s="47"/>
      <c r="AA129" s="47"/>
    </row>
    <row r="130" spans="1:27" ht="37.799999999999997" customHeight="1" x14ac:dyDescent="0.3">
      <c r="A130" s="39" t="s">
        <v>262</v>
      </c>
      <c r="B130" s="40" t="s">
        <v>264</v>
      </c>
      <c r="C130" s="55"/>
      <c r="D130" s="62"/>
      <c r="E130" s="21">
        <v>1953140</v>
      </c>
      <c r="F130" s="93">
        <v>1953140</v>
      </c>
      <c r="G130" s="21">
        <v>0</v>
      </c>
      <c r="H130" s="29">
        <f t="shared" ref="H130:H155" si="74">G130/F130*100</f>
        <v>0</v>
      </c>
      <c r="I130" s="21">
        <v>0</v>
      </c>
      <c r="J130" s="21">
        <f t="shared" si="1"/>
        <v>0</v>
      </c>
      <c r="K130" s="29">
        <f t="shared" ref="K130:K197" si="75">J130/F130*100</f>
        <v>0</v>
      </c>
      <c r="L130" s="21">
        <f t="shared" si="57"/>
        <v>1953140</v>
      </c>
      <c r="M130" s="29">
        <f t="shared" si="35"/>
        <v>100</v>
      </c>
      <c r="N130" s="21">
        <f t="shared" si="3"/>
        <v>1953140</v>
      </c>
      <c r="O130" s="29">
        <f t="shared" si="4"/>
        <v>100</v>
      </c>
      <c r="Q130" s="47"/>
      <c r="R130" s="47"/>
      <c r="S130" s="47"/>
      <c r="T130" s="47"/>
      <c r="U130" s="56"/>
      <c r="V130" s="47"/>
      <c r="W130" s="47"/>
      <c r="X130" s="47"/>
      <c r="Y130" s="47"/>
      <c r="Z130" s="47"/>
      <c r="AA130" s="47"/>
    </row>
    <row r="131" spans="1:27" ht="52.2" customHeight="1" x14ac:dyDescent="0.3">
      <c r="A131" s="39" t="s">
        <v>263</v>
      </c>
      <c r="B131" s="40" t="s">
        <v>265</v>
      </c>
      <c r="C131" s="55"/>
      <c r="D131" s="62"/>
      <c r="E131" s="21">
        <v>5950</v>
      </c>
      <c r="F131" s="93">
        <v>5950</v>
      </c>
      <c r="G131" s="21">
        <v>0</v>
      </c>
      <c r="H131" s="29">
        <f t="shared" si="74"/>
        <v>0</v>
      </c>
      <c r="I131" s="21">
        <v>0</v>
      </c>
      <c r="J131" s="21">
        <f t="shared" si="1"/>
        <v>0</v>
      </c>
      <c r="K131" s="29">
        <f t="shared" si="75"/>
        <v>0</v>
      </c>
      <c r="L131" s="21">
        <f t="shared" si="57"/>
        <v>5950</v>
      </c>
      <c r="M131" s="29">
        <f t="shared" si="35"/>
        <v>100</v>
      </c>
      <c r="N131" s="21">
        <f t="shared" si="3"/>
        <v>5950</v>
      </c>
      <c r="O131" s="29">
        <f t="shared" si="4"/>
        <v>100</v>
      </c>
      <c r="Q131" s="47"/>
      <c r="R131" s="47"/>
      <c r="S131" s="47"/>
      <c r="T131" s="47"/>
      <c r="U131" s="56"/>
      <c r="V131" s="47"/>
      <c r="W131" s="47"/>
      <c r="X131" s="47"/>
      <c r="Y131" s="47"/>
      <c r="Z131" s="47"/>
      <c r="AA131" s="47"/>
    </row>
    <row r="132" spans="1:27" ht="35.4" customHeight="1" x14ac:dyDescent="0.3">
      <c r="A132" s="39" t="s">
        <v>406</v>
      </c>
      <c r="B132" s="40" t="s">
        <v>407</v>
      </c>
      <c r="C132" s="55"/>
      <c r="D132" s="62"/>
      <c r="E132" s="21">
        <v>7087500</v>
      </c>
      <c r="F132" s="93">
        <v>7087500</v>
      </c>
      <c r="G132" s="21">
        <v>0</v>
      </c>
      <c r="H132" s="29">
        <f t="shared" ref="H132" si="76">G132/F132*100</f>
        <v>0</v>
      </c>
      <c r="I132" s="21">
        <v>0</v>
      </c>
      <c r="J132" s="21">
        <f t="shared" ref="J132:J133" si="77">G132+I132</f>
        <v>0</v>
      </c>
      <c r="K132" s="29">
        <f t="shared" ref="K132" si="78">J132/F132*100</f>
        <v>0</v>
      </c>
      <c r="L132" s="21">
        <f t="shared" ref="L132:L133" si="79">F132-J132</f>
        <v>7087500</v>
      </c>
      <c r="M132" s="29">
        <f t="shared" ref="M132" si="80">L132/F132*100</f>
        <v>100</v>
      </c>
      <c r="N132" s="21">
        <f t="shared" ref="N132:N133" si="81">E132-J132</f>
        <v>7087500</v>
      </c>
      <c r="O132" s="29">
        <f t="shared" ref="O132:O133" si="82">N132/E132*100</f>
        <v>100</v>
      </c>
      <c r="Q132" s="47"/>
      <c r="R132" s="47"/>
      <c r="S132" s="47"/>
      <c r="T132" s="47"/>
      <c r="U132" s="56"/>
      <c r="V132" s="47"/>
      <c r="W132" s="47"/>
      <c r="X132" s="47"/>
      <c r="Y132" s="47"/>
      <c r="Z132" s="47"/>
      <c r="AA132" s="47"/>
    </row>
    <row r="133" spans="1:27" ht="39.6" customHeight="1" x14ac:dyDescent="0.3">
      <c r="A133" s="39" t="s">
        <v>408</v>
      </c>
      <c r="B133" s="40" t="s">
        <v>409</v>
      </c>
      <c r="C133" s="55"/>
      <c r="D133" s="62"/>
      <c r="E133" s="21">
        <v>188160</v>
      </c>
      <c r="F133" s="21">
        <v>0</v>
      </c>
      <c r="G133" s="21">
        <v>0</v>
      </c>
      <c r="H133" s="29">
        <v>0</v>
      </c>
      <c r="I133" s="21">
        <v>0</v>
      </c>
      <c r="J133" s="21">
        <f t="shared" si="77"/>
        <v>0</v>
      </c>
      <c r="K133" s="29">
        <v>0</v>
      </c>
      <c r="L133" s="21">
        <f t="shared" si="79"/>
        <v>0</v>
      </c>
      <c r="M133" s="29">
        <v>0</v>
      </c>
      <c r="N133" s="21">
        <f t="shared" si="81"/>
        <v>188160</v>
      </c>
      <c r="O133" s="29">
        <f t="shared" si="82"/>
        <v>100</v>
      </c>
      <c r="Q133" s="47"/>
      <c r="R133" s="47"/>
      <c r="S133" s="47"/>
      <c r="T133" s="47"/>
      <c r="U133" s="56"/>
      <c r="V133" s="47"/>
      <c r="W133" s="47"/>
      <c r="X133" s="47"/>
      <c r="Y133" s="47"/>
      <c r="Z133" s="47"/>
      <c r="AA133" s="47"/>
    </row>
    <row r="134" spans="1:27" ht="18" customHeight="1" x14ac:dyDescent="0.3">
      <c r="A134" s="57"/>
      <c r="B134" s="13"/>
      <c r="C134" s="12"/>
      <c r="D134" s="15"/>
      <c r="E134" s="14"/>
      <c r="F134" s="14"/>
      <c r="G134" s="14"/>
      <c r="H134" s="28"/>
      <c r="I134" s="14"/>
      <c r="J134" s="14"/>
      <c r="K134" s="28"/>
      <c r="L134" s="21"/>
      <c r="M134" s="29"/>
      <c r="N134" s="14"/>
      <c r="O134" s="30"/>
      <c r="Q134" s="47"/>
      <c r="R134" s="47"/>
      <c r="S134" s="47"/>
      <c r="T134" s="47"/>
      <c r="U134" s="56"/>
      <c r="V134" s="47"/>
      <c r="W134" s="47"/>
      <c r="X134" s="47"/>
      <c r="Y134" s="47"/>
      <c r="Z134" s="47"/>
      <c r="AA134" s="47"/>
    </row>
    <row r="135" spans="1:27" ht="37.200000000000003" customHeight="1" x14ac:dyDescent="0.3">
      <c r="A135" s="87" t="s">
        <v>110</v>
      </c>
      <c r="B135" s="11" t="s">
        <v>111</v>
      </c>
      <c r="C135" s="12" t="s">
        <v>164</v>
      </c>
      <c r="D135" s="15" t="s">
        <v>15</v>
      </c>
      <c r="E135" s="19">
        <f>SUM(E136:E139)</f>
        <v>21377000</v>
      </c>
      <c r="F135" s="19">
        <f>SUM(F136:F139)</f>
        <v>5143000</v>
      </c>
      <c r="G135" s="19">
        <f>SUM(G136:G139)</f>
        <v>0</v>
      </c>
      <c r="H135" s="28">
        <f t="shared" si="74"/>
        <v>0</v>
      </c>
      <c r="I135" s="19">
        <f>SUM(I136:I139)</f>
        <v>0</v>
      </c>
      <c r="J135" s="19">
        <f t="shared" ref="J135:J139" si="83">G135+I135</f>
        <v>0</v>
      </c>
      <c r="K135" s="28">
        <f t="shared" si="75"/>
        <v>0</v>
      </c>
      <c r="L135" s="22">
        <f t="shared" ref="L135:L139" si="84">F135-J135</f>
        <v>5143000</v>
      </c>
      <c r="M135" s="32">
        <f t="shared" ref="M135:M139" si="85">L135/F135*100</f>
        <v>100</v>
      </c>
      <c r="N135" s="19">
        <f t="shared" ref="N135:N139" si="86">E135-J135</f>
        <v>21377000</v>
      </c>
      <c r="O135" s="28">
        <f t="shared" ref="O135:O139" si="87">N135/E135*100</f>
        <v>100</v>
      </c>
      <c r="Q135" s="47"/>
      <c r="R135" s="47"/>
      <c r="S135" s="47"/>
      <c r="T135" s="47"/>
      <c r="U135" s="56"/>
      <c r="V135" s="47"/>
      <c r="W135" s="47"/>
      <c r="X135" s="47"/>
      <c r="Y135" s="47"/>
      <c r="Z135" s="47"/>
      <c r="AA135" s="47"/>
    </row>
    <row r="136" spans="1:27" ht="30.75" customHeight="1" x14ac:dyDescent="0.3">
      <c r="A136" s="90" t="s">
        <v>266</v>
      </c>
      <c r="B136" s="40" t="s">
        <v>74</v>
      </c>
      <c r="C136" s="12"/>
      <c r="D136" s="15"/>
      <c r="E136" s="21">
        <v>2901000</v>
      </c>
      <c r="F136" s="92">
        <v>724000</v>
      </c>
      <c r="G136" s="21">
        <v>0</v>
      </c>
      <c r="H136" s="30">
        <f t="shared" si="74"/>
        <v>0</v>
      </c>
      <c r="I136" s="21">
        <v>0</v>
      </c>
      <c r="J136" s="14">
        <f t="shared" si="83"/>
        <v>0</v>
      </c>
      <c r="K136" s="30">
        <f t="shared" si="75"/>
        <v>0</v>
      </c>
      <c r="L136" s="21">
        <f t="shared" si="84"/>
        <v>724000</v>
      </c>
      <c r="M136" s="29">
        <f t="shared" si="85"/>
        <v>100</v>
      </c>
      <c r="N136" s="14">
        <f t="shared" si="86"/>
        <v>2901000</v>
      </c>
      <c r="O136" s="30">
        <f t="shared" si="87"/>
        <v>100</v>
      </c>
      <c r="Q136" s="47"/>
      <c r="R136" s="47"/>
      <c r="S136" s="47"/>
      <c r="T136" s="47"/>
      <c r="U136" s="56"/>
      <c r="V136" s="47"/>
      <c r="W136" s="47"/>
      <c r="X136" s="47"/>
      <c r="Y136" s="47"/>
      <c r="Z136" s="47"/>
      <c r="AA136" s="47"/>
    </row>
    <row r="137" spans="1:27" ht="35.25" customHeight="1" x14ac:dyDescent="0.3">
      <c r="A137" s="39" t="s">
        <v>311</v>
      </c>
      <c r="B137" s="40" t="s">
        <v>315</v>
      </c>
      <c r="C137" s="13"/>
      <c r="D137" s="48"/>
      <c r="E137" s="21">
        <v>7376000</v>
      </c>
      <c r="F137" s="92">
        <v>1844000</v>
      </c>
      <c r="G137" s="21">
        <v>0</v>
      </c>
      <c r="H137" s="30">
        <f t="shared" si="74"/>
        <v>0</v>
      </c>
      <c r="I137" s="21">
        <v>0</v>
      </c>
      <c r="J137" s="14">
        <f t="shared" si="83"/>
        <v>0</v>
      </c>
      <c r="K137" s="30">
        <f t="shared" si="75"/>
        <v>0</v>
      </c>
      <c r="L137" s="21">
        <f t="shared" si="84"/>
        <v>1844000</v>
      </c>
      <c r="M137" s="29">
        <f t="shared" si="85"/>
        <v>100</v>
      </c>
      <c r="N137" s="14">
        <f t="shared" si="86"/>
        <v>7376000</v>
      </c>
      <c r="O137" s="30">
        <f t="shared" si="87"/>
        <v>100</v>
      </c>
      <c r="Q137" s="47"/>
      <c r="R137" s="47"/>
      <c r="S137" s="47"/>
      <c r="T137" s="47"/>
      <c r="U137" s="56"/>
      <c r="V137" s="47"/>
      <c r="W137" s="47"/>
      <c r="X137" s="47"/>
      <c r="Y137" s="47"/>
      <c r="Z137" s="47"/>
      <c r="AA137" s="47"/>
    </row>
    <row r="138" spans="1:27" ht="30" customHeight="1" x14ac:dyDescent="0.3">
      <c r="A138" s="90" t="s">
        <v>267</v>
      </c>
      <c r="B138" s="40" t="s">
        <v>75</v>
      </c>
      <c r="C138" s="13"/>
      <c r="D138" s="48"/>
      <c r="E138" s="21">
        <v>2400000</v>
      </c>
      <c r="F138" s="92">
        <v>400000</v>
      </c>
      <c r="G138" s="21">
        <v>0</v>
      </c>
      <c r="H138" s="30">
        <f t="shared" si="74"/>
        <v>0</v>
      </c>
      <c r="I138" s="21">
        <v>0</v>
      </c>
      <c r="J138" s="14">
        <f t="shared" si="83"/>
        <v>0</v>
      </c>
      <c r="K138" s="30">
        <f t="shared" si="75"/>
        <v>0</v>
      </c>
      <c r="L138" s="21">
        <f t="shared" si="84"/>
        <v>400000</v>
      </c>
      <c r="M138" s="29">
        <f t="shared" si="85"/>
        <v>100</v>
      </c>
      <c r="N138" s="14">
        <f t="shared" si="86"/>
        <v>2400000</v>
      </c>
      <c r="O138" s="30">
        <f t="shared" si="87"/>
        <v>100</v>
      </c>
      <c r="Q138" s="47"/>
      <c r="R138" s="47"/>
      <c r="S138" s="47"/>
      <c r="T138" s="47"/>
      <c r="U138" s="56"/>
      <c r="V138" s="47"/>
      <c r="W138" s="47"/>
      <c r="X138" s="47"/>
      <c r="Y138" s="47"/>
      <c r="Z138" s="47"/>
      <c r="AA138" s="47"/>
    </row>
    <row r="139" spans="1:27" ht="31.2" customHeight="1" x14ac:dyDescent="0.3">
      <c r="A139" s="39" t="s">
        <v>312</v>
      </c>
      <c r="B139" s="40" t="s">
        <v>313</v>
      </c>
      <c r="C139" s="12"/>
      <c r="D139" s="15"/>
      <c r="E139" s="21">
        <v>8700000</v>
      </c>
      <c r="F139" s="92">
        <v>2175000</v>
      </c>
      <c r="G139" s="21">
        <v>0</v>
      </c>
      <c r="H139" s="30">
        <f t="shared" si="74"/>
        <v>0</v>
      </c>
      <c r="I139" s="21">
        <v>0</v>
      </c>
      <c r="J139" s="14">
        <f t="shared" si="83"/>
        <v>0</v>
      </c>
      <c r="K139" s="30">
        <f t="shared" si="75"/>
        <v>0</v>
      </c>
      <c r="L139" s="21">
        <f t="shared" si="84"/>
        <v>2175000</v>
      </c>
      <c r="M139" s="29">
        <f t="shared" si="85"/>
        <v>100</v>
      </c>
      <c r="N139" s="14">
        <f t="shared" si="86"/>
        <v>8700000</v>
      </c>
      <c r="O139" s="30">
        <f t="shared" si="87"/>
        <v>100</v>
      </c>
      <c r="Q139" s="47"/>
      <c r="R139" s="47"/>
      <c r="S139" s="47"/>
      <c r="T139" s="47"/>
      <c r="U139" s="56"/>
      <c r="V139" s="47"/>
      <c r="W139" s="47"/>
      <c r="X139" s="47"/>
      <c r="Y139" s="47"/>
      <c r="Z139" s="47"/>
      <c r="AA139" s="47"/>
    </row>
    <row r="140" spans="1:27" ht="19.2" customHeight="1" x14ac:dyDescent="0.3">
      <c r="A140" s="57"/>
      <c r="B140" s="13"/>
      <c r="C140" s="12"/>
      <c r="D140" s="15"/>
      <c r="E140" s="14"/>
      <c r="F140" s="14"/>
      <c r="G140" s="19"/>
      <c r="H140" s="28"/>
      <c r="I140" s="19"/>
      <c r="J140" s="19"/>
      <c r="K140" s="28"/>
      <c r="L140" s="22"/>
      <c r="M140" s="32"/>
      <c r="N140" s="19"/>
      <c r="O140" s="28"/>
      <c r="Q140" s="47"/>
      <c r="R140" s="47"/>
      <c r="S140" s="47"/>
      <c r="T140" s="47"/>
      <c r="U140" s="56"/>
      <c r="V140" s="47"/>
      <c r="W140" s="47"/>
      <c r="X140" s="47"/>
      <c r="Y140" s="47"/>
      <c r="Z140" s="47"/>
      <c r="AA140" s="47"/>
    </row>
    <row r="141" spans="1:27" ht="33" customHeight="1" x14ac:dyDescent="0.3">
      <c r="A141" s="87" t="s">
        <v>268</v>
      </c>
      <c r="B141" s="11" t="s">
        <v>46</v>
      </c>
      <c r="C141" s="12" t="s">
        <v>164</v>
      </c>
      <c r="D141" s="15" t="s">
        <v>15</v>
      </c>
      <c r="E141" s="19">
        <f>SUM(E142:E148)</f>
        <v>103174000</v>
      </c>
      <c r="F141" s="19">
        <f>SUM(F142:F148)</f>
        <v>23796000</v>
      </c>
      <c r="G141" s="19">
        <f>SUM(G142:G148)</f>
        <v>0</v>
      </c>
      <c r="H141" s="28">
        <f t="shared" si="74"/>
        <v>0</v>
      </c>
      <c r="I141" s="19">
        <f>SUM(I142:I148)</f>
        <v>21234500</v>
      </c>
      <c r="J141" s="19">
        <f t="shared" si="1"/>
        <v>21234500</v>
      </c>
      <c r="K141" s="28">
        <f t="shared" si="75"/>
        <v>89.235585812741633</v>
      </c>
      <c r="L141" s="22">
        <f t="shared" ref="L141:L147" si="88">F141-J141</f>
        <v>2561500</v>
      </c>
      <c r="M141" s="32">
        <f t="shared" ref="M141:M147" si="89">L141/F141*100</f>
        <v>10.764414187258362</v>
      </c>
      <c r="N141" s="19">
        <f t="shared" si="3"/>
        <v>81939500</v>
      </c>
      <c r="O141" s="28">
        <f t="shared" si="4"/>
        <v>79.418748909609008</v>
      </c>
      <c r="Q141" s="47"/>
      <c r="R141" s="47"/>
      <c r="S141" s="47"/>
      <c r="T141" s="47"/>
      <c r="U141" s="56"/>
      <c r="V141" s="47"/>
      <c r="W141" s="47"/>
      <c r="X141" s="47"/>
      <c r="Y141" s="47"/>
      <c r="Z141" s="47"/>
      <c r="AA141" s="47"/>
    </row>
    <row r="142" spans="1:27" ht="30.6" customHeight="1" x14ac:dyDescent="0.3">
      <c r="A142" s="39" t="s">
        <v>48</v>
      </c>
      <c r="B142" s="40" t="s">
        <v>47</v>
      </c>
      <c r="C142" s="55"/>
      <c r="D142" s="62"/>
      <c r="E142" s="21">
        <v>74640000</v>
      </c>
      <c r="F142" s="92">
        <v>12440000</v>
      </c>
      <c r="G142" s="21">
        <v>0</v>
      </c>
      <c r="H142" s="30">
        <f t="shared" si="74"/>
        <v>0</v>
      </c>
      <c r="I142" s="21">
        <f>12440000</f>
        <v>12440000</v>
      </c>
      <c r="J142" s="21">
        <f t="shared" si="1"/>
        <v>12440000</v>
      </c>
      <c r="K142" s="30">
        <f t="shared" si="75"/>
        <v>100</v>
      </c>
      <c r="L142" s="21">
        <f t="shared" si="88"/>
        <v>0</v>
      </c>
      <c r="M142" s="29">
        <f t="shared" si="89"/>
        <v>0</v>
      </c>
      <c r="N142" s="21">
        <f t="shared" si="3"/>
        <v>62200000</v>
      </c>
      <c r="O142" s="29">
        <f t="shared" si="4"/>
        <v>83.333333333333343</v>
      </c>
      <c r="P142" s="80"/>
      <c r="Q142" s="47"/>
      <c r="R142" s="47"/>
      <c r="S142" s="47"/>
      <c r="T142" s="47"/>
      <c r="U142" s="56"/>
      <c r="V142" s="47"/>
      <c r="W142" s="47"/>
      <c r="X142" s="47"/>
      <c r="Y142" s="47"/>
      <c r="Z142" s="47"/>
      <c r="AA142" s="47"/>
    </row>
    <row r="143" spans="1:27" ht="31.2" customHeight="1" x14ac:dyDescent="0.3">
      <c r="A143" s="39" t="s">
        <v>28</v>
      </c>
      <c r="B143" s="40" t="s">
        <v>29</v>
      </c>
      <c r="C143" s="55"/>
      <c r="D143" s="62"/>
      <c r="E143" s="21">
        <v>499000</v>
      </c>
      <c r="F143" s="21">
        <v>0</v>
      </c>
      <c r="G143" s="21">
        <v>0</v>
      </c>
      <c r="H143" s="30">
        <v>0</v>
      </c>
      <c r="I143" s="21">
        <v>0</v>
      </c>
      <c r="J143" s="21">
        <f t="shared" si="1"/>
        <v>0</v>
      </c>
      <c r="K143" s="30">
        <v>0</v>
      </c>
      <c r="L143" s="21">
        <f t="shared" si="88"/>
        <v>0</v>
      </c>
      <c r="M143" s="29">
        <v>0</v>
      </c>
      <c r="N143" s="21">
        <f t="shared" si="3"/>
        <v>499000</v>
      </c>
      <c r="O143" s="29">
        <f t="shared" si="4"/>
        <v>100</v>
      </c>
      <c r="Q143" s="47"/>
      <c r="R143" s="47"/>
      <c r="S143" s="47"/>
      <c r="T143" s="47"/>
      <c r="U143" s="56"/>
      <c r="V143" s="47"/>
      <c r="W143" s="47"/>
      <c r="X143" s="47"/>
      <c r="Y143" s="47"/>
      <c r="Z143" s="47"/>
      <c r="AA143" s="47"/>
    </row>
    <row r="144" spans="1:27" ht="35.25" customHeight="1" x14ac:dyDescent="0.3">
      <c r="A144" s="39" t="s">
        <v>311</v>
      </c>
      <c r="B144" s="40" t="s">
        <v>315</v>
      </c>
      <c r="C144" s="55"/>
      <c r="D144" s="62"/>
      <c r="E144" s="21">
        <v>1120000</v>
      </c>
      <c r="F144" s="21">
        <v>280000</v>
      </c>
      <c r="G144" s="21">
        <v>0</v>
      </c>
      <c r="H144" s="30">
        <f t="shared" si="74"/>
        <v>0</v>
      </c>
      <c r="I144" s="21">
        <v>0</v>
      </c>
      <c r="J144" s="21">
        <f t="shared" si="1"/>
        <v>0</v>
      </c>
      <c r="K144" s="30">
        <f t="shared" si="75"/>
        <v>0</v>
      </c>
      <c r="L144" s="21">
        <f t="shared" si="88"/>
        <v>280000</v>
      </c>
      <c r="M144" s="29">
        <f t="shared" si="89"/>
        <v>100</v>
      </c>
      <c r="N144" s="21">
        <f t="shared" si="3"/>
        <v>1120000</v>
      </c>
      <c r="O144" s="29">
        <f t="shared" si="4"/>
        <v>100</v>
      </c>
      <c r="Q144" s="47"/>
      <c r="R144" s="47"/>
      <c r="S144" s="47"/>
      <c r="T144" s="47"/>
      <c r="U144" s="56"/>
      <c r="V144" s="47"/>
      <c r="W144" s="47"/>
      <c r="X144" s="47"/>
      <c r="Y144" s="47"/>
      <c r="Z144" s="47"/>
      <c r="AA144" s="47"/>
    </row>
    <row r="145" spans="1:27" ht="29.25" customHeight="1" x14ac:dyDescent="0.3">
      <c r="A145" s="39" t="s">
        <v>31</v>
      </c>
      <c r="B145" s="40" t="s">
        <v>30</v>
      </c>
      <c r="C145" s="12"/>
      <c r="D145" s="15"/>
      <c r="E145" s="21">
        <v>665000</v>
      </c>
      <c r="F145" s="92">
        <v>166000</v>
      </c>
      <c r="G145" s="21">
        <v>0</v>
      </c>
      <c r="H145" s="30">
        <f t="shared" si="74"/>
        <v>0</v>
      </c>
      <c r="I145" s="21">
        <v>0</v>
      </c>
      <c r="J145" s="14">
        <f>G145+I145</f>
        <v>0</v>
      </c>
      <c r="K145" s="30">
        <f t="shared" si="75"/>
        <v>0</v>
      </c>
      <c r="L145" s="21">
        <f t="shared" si="88"/>
        <v>166000</v>
      </c>
      <c r="M145" s="29">
        <f t="shared" si="89"/>
        <v>100</v>
      </c>
      <c r="N145" s="14">
        <f t="shared" si="3"/>
        <v>665000</v>
      </c>
      <c r="O145" s="30">
        <f t="shared" si="4"/>
        <v>100</v>
      </c>
      <c r="Q145" s="47"/>
      <c r="R145" s="47"/>
      <c r="S145" s="47"/>
      <c r="T145" s="47"/>
      <c r="U145" s="56"/>
      <c r="V145" s="47"/>
      <c r="W145" s="47"/>
      <c r="X145" s="47"/>
      <c r="Y145" s="47"/>
      <c r="Z145" s="47"/>
      <c r="AA145" s="47"/>
    </row>
    <row r="146" spans="1:27" ht="32.25" customHeight="1" x14ac:dyDescent="0.3">
      <c r="A146" s="39" t="s">
        <v>312</v>
      </c>
      <c r="B146" s="40" t="s">
        <v>313</v>
      </c>
      <c r="C146" s="12"/>
      <c r="D146" s="15"/>
      <c r="E146" s="21">
        <v>900000</v>
      </c>
      <c r="F146" s="21">
        <v>900000</v>
      </c>
      <c r="G146" s="21">
        <v>0</v>
      </c>
      <c r="H146" s="30">
        <f t="shared" si="74"/>
        <v>0</v>
      </c>
      <c r="I146" s="21">
        <v>0</v>
      </c>
      <c r="J146" s="14">
        <f t="shared" si="1"/>
        <v>0</v>
      </c>
      <c r="K146" s="30">
        <f t="shared" si="75"/>
        <v>0</v>
      </c>
      <c r="L146" s="21">
        <f t="shared" si="88"/>
        <v>900000</v>
      </c>
      <c r="M146" s="29">
        <f t="shared" si="89"/>
        <v>100</v>
      </c>
      <c r="N146" s="14">
        <f t="shared" si="3"/>
        <v>900000</v>
      </c>
      <c r="O146" s="30">
        <f t="shared" si="4"/>
        <v>100</v>
      </c>
      <c r="Q146" s="47"/>
      <c r="R146" s="47"/>
      <c r="S146" s="47"/>
      <c r="T146" s="47"/>
      <c r="U146" s="56"/>
      <c r="V146" s="47"/>
      <c r="W146" s="47"/>
      <c r="X146" s="47"/>
      <c r="Y146" s="47"/>
      <c r="Z146" s="47"/>
      <c r="AA146" s="47"/>
    </row>
    <row r="147" spans="1:27" ht="18" customHeight="1" x14ac:dyDescent="0.3">
      <c r="A147" s="39" t="s">
        <v>33</v>
      </c>
      <c r="B147" s="40" t="s">
        <v>34</v>
      </c>
      <c r="C147" s="12"/>
      <c r="D147" s="15"/>
      <c r="E147" s="21">
        <v>12000000</v>
      </c>
      <c r="F147" s="92">
        <v>2000000</v>
      </c>
      <c r="G147" s="21">
        <v>0</v>
      </c>
      <c r="H147" s="30">
        <f t="shared" si="74"/>
        <v>0</v>
      </c>
      <c r="I147" s="21">
        <f>2000000</f>
        <v>2000000</v>
      </c>
      <c r="J147" s="14">
        <f t="shared" si="1"/>
        <v>2000000</v>
      </c>
      <c r="K147" s="30">
        <f t="shared" si="75"/>
        <v>100</v>
      </c>
      <c r="L147" s="21">
        <f t="shared" si="88"/>
        <v>0</v>
      </c>
      <c r="M147" s="29">
        <f t="shared" si="89"/>
        <v>0</v>
      </c>
      <c r="N147" s="14">
        <f t="shared" si="3"/>
        <v>10000000</v>
      </c>
      <c r="O147" s="30">
        <f t="shared" si="4"/>
        <v>83.333333333333343</v>
      </c>
      <c r="Q147" s="47"/>
      <c r="R147" s="47"/>
      <c r="S147" s="47"/>
      <c r="T147" s="47"/>
      <c r="U147" s="56"/>
      <c r="V147" s="47"/>
      <c r="W147" s="47"/>
      <c r="X147" s="47"/>
      <c r="Y147" s="47"/>
      <c r="Z147" s="47"/>
      <c r="AA147" s="47"/>
    </row>
    <row r="148" spans="1:27" ht="18" customHeight="1" x14ac:dyDescent="0.3">
      <c r="A148" s="39" t="s">
        <v>52</v>
      </c>
      <c r="B148" s="40" t="s">
        <v>63</v>
      </c>
      <c r="C148" s="12"/>
      <c r="D148" s="15"/>
      <c r="E148" s="21">
        <v>13350000</v>
      </c>
      <c r="F148" s="92">
        <v>8010000</v>
      </c>
      <c r="G148" s="21">
        <v>0</v>
      </c>
      <c r="H148" s="30">
        <f t="shared" ref="H148" si="90">G148/F148*100</f>
        <v>0</v>
      </c>
      <c r="I148" s="21">
        <f>6794500</f>
        <v>6794500</v>
      </c>
      <c r="J148" s="14">
        <f t="shared" ref="J148" si="91">G148+I148</f>
        <v>6794500</v>
      </c>
      <c r="K148" s="30">
        <f t="shared" ref="K148" si="92">J148/F148*100</f>
        <v>84.825218476903871</v>
      </c>
      <c r="L148" s="21">
        <f t="shared" ref="L148" si="93">F148-J148</f>
        <v>1215500</v>
      </c>
      <c r="M148" s="29">
        <f t="shared" ref="M148" si="94">L148/F148*100</f>
        <v>15.174781523096129</v>
      </c>
      <c r="N148" s="14">
        <f t="shared" ref="N148" si="95">E148-J148</f>
        <v>6555500</v>
      </c>
      <c r="O148" s="30">
        <f t="shared" ref="O148" si="96">N148/E148*100</f>
        <v>49.104868913857679</v>
      </c>
      <c r="Q148" s="47"/>
      <c r="R148" s="47"/>
      <c r="S148" s="47"/>
      <c r="T148" s="47"/>
      <c r="U148" s="56"/>
      <c r="V148" s="47"/>
      <c r="W148" s="47"/>
      <c r="X148" s="47"/>
      <c r="Y148" s="47"/>
      <c r="Z148" s="47"/>
      <c r="AA148" s="47"/>
    </row>
    <row r="149" spans="1:27" ht="18" customHeight="1" x14ac:dyDescent="0.3">
      <c r="A149" s="74"/>
      <c r="B149" s="13"/>
      <c r="C149" s="12"/>
      <c r="D149" s="15"/>
      <c r="E149" s="14"/>
      <c r="F149" s="14"/>
      <c r="G149" s="14"/>
      <c r="H149" s="28"/>
      <c r="I149" s="14"/>
      <c r="J149" s="19"/>
      <c r="K149" s="28"/>
      <c r="L149" s="19"/>
      <c r="M149" s="28"/>
      <c r="N149" s="19"/>
      <c r="O149" s="28"/>
      <c r="Q149" s="47"/>
      <c r="R149" s="47"/>
      <c r="S149" s="47"/>
      <c r="T149" s="47"/>
      <c r="U149" s="56"/>
      <c r="V149" s="47"/>
      <c r="W149" s="47"/>
      <c r="X149" s="47"/>
      <c r="Y149" s="47"/>
      <c r="Z149" s="47"/>
      <c r="AA149" s="47"/>
    </row>
    <row r="150" spans="1:27" ht="35.25" customHeight="1" x14ac:dyDescent="0.3">
      <c r="A150" s="86" t="s">
        <v>112</v>
      </c>
      <c r="B150" s="10" t="s">
        <v>49</v>
      </c>
      <c r="C150" s="4"/>
      <c r="D150" s="52"/>
      <c r="E150" s="16">
        <f>E151</f>
        <v>13581000</v>
      </c>
      <c r="F150" s="16">
        <f>F151</f>
        <v>2668250</v>
      </c>
      <c r="G150" s="16">
        <f>G151</f>
        <v>0</v>
      </c>
      <c r="H150" s="27">
        <f t="shared" si="74"/>
        <v>0</v>
      </c>
      <c r="I150" s="16">
        <f>I151</f>
        <v>950000</v>
      </c>
      <c r="J150" s="16">
        <f t="shared" si="1"/>
        <v>950000</v>
      </c>
      <c r="K150" s="27">
        <f t="shared" si="75"/>
        <v>35.6038602080015</v>
      </c>
      <c r="L150" s="16">
        <f>F150-J150</f>
        <v>1718250</v>
      </c>
      <c r="M150" s="27">
        <f>L150/F150*100</f>
        <v>64.396139791998493</v>
      </c>
      <c r="N150" s="16">
        <f t="shared" si="3"/>
        <v>12631000</v>
      </c>
      <c r="O150" s="27">
        <f t="shared" si="4"/>
        <v>93.004933362786247</v>
      </c>
      <c r="P150" s="80"/>
      <c r="Q150" s="47"/>
      <c r="R150" s="47"/>
      <c r="S150" s="47"/>
      <c r="T150" s="47"/>
      <c r="U150" s="56"/>
      <c r="V150" s="47"/>
      <c r="W150" s="47"/>
      <c r="X150" s="47"/>
      <c r="Y150" s="47"/>
      <c r="Z150" s="47"/>
      <c r="AA150" s="47"/>
    </row>
    <row r="151" spans="1:27" ht="34.5" customHeight="1" x14ac:dyDescent="0.3">
      <c r="A151" s="87" t="s">
        <v>113</v>
      </c>
      <c r="B151" s="11" t="s">
        <v>77</v>
      </c>
      <c r="C151" s="12" t="s">
        <v>164</v>
      </c>
      <c r="D151" s="15" t="s">
        <v>15</v>
      </c>
      <c r="E151" s="19">
        <f>E152+E153+E154+E155</f>
        <v>13581000</v>
      </c>
      <c r="F151" s="19">
        <f>F152+F153+F154+F155</f>
        <v>2668250</v>
      </c>
      <c r="G151" s="19">
        <f>G152+G153+G154+G155</f>
        <v>0</v>
      </c>
      <c r="H151" s="28">
        <f t="shared" si="74"/>
        <v>0</v>
      </c>
      <c r="I151" s="19">
        <f>I152+I153+I154+I155</f>
        <v>950000</v>
      </c>
      <c r="J151" s="19">
        <f t="shared" si="1"/>
        <v>950000</v>
      </c>
      <c r="K151" s="28">
        <f t="shared" si="75"/>
        <v>35.6038602080015</v>
      </c>
      <c r="L151" s="22">
        <f t="shared" ref="L151:L155" si="97">F151-J151</f>
        <v>1718250</v>
      </c>
      <c r="M151" s="32">
        <f t="shared" ref="M151:M155" si="98">L151/F151*100</f>
        <v>64.396139791998493</v>
      </c>
      <c r="N151" s="19">
        <f t="shared" si="3"/>
        <v>12631000</v>
      </c>
      <c r="O151" s="28">
        <f t="shared" si="4"/>
        <v>93.004933362786247</v>
      </c>
      <c r="Q151" s="47"/>
      <c r="R151" s="47"/>
      <c r="S151" s="47"/>
      <c r="T151" s="47"/>
      <c r="U151" s="56"/>
      <c r="V151" s="47"/>
      <c r="W151" s="47"/>
      <c r="X151" s="47"/>
      <c r="Y151" s="47"/>
      <c r="Z151" s="47"/>
      <c r="AA151" s="47"/>
    </row>
    <row r="152" spans="1:27" ht="30.75" customHeight="1" x14ac:dyDescent="0.3">
      <c r="A152" s="39" t="s">
        <v>269</v>
      </c>
      <c r="B152" s="40" t="s">
        <v>270</v>
      </c>
      <c r="C152" s="55"/>
      <c r="D152" s="62"/>
      <c r="E152" s="21">
        <v>10200000</v>
      </c>
      <c r="F152" s="93">
        <v>1700000</v>
      </c>
      <c r="G152" s="21">
        <v>0</v>
      </c>
      <c r="H152" s="29">
        <f t="shared" si="74"/>
        <v>0</v>
      </c>
      <c r="I152" s="21">
        <f>950000</f>
        <v>950000</v>
      </c>
      <c r="J152" s="21">
        <f t="shared" si="1"/>
        <v>950000</v>
      </c>
      <c r="K152" s="29">
        <f t="shared" si="75"/>
        <v>55.882352941176471</v>
      </c>
      <c r="L152" s="21">
        <f t="shared" si="97"/>
        <v>750000</v>
      </c>
      <c r="M152" s="29">
        <f t="shared" si="98"/>
        <v>44.117647058823529</v>
      </c>
      <c r="N152" s="21">
        <f>E152-J152</f>
        <v>9250000</v>
      </c>
      <c r="O152" s="29">
        <f t="shared" si="4"/>
        <v>90.686274509803923</v>
      </c>
      <c r="Q152" s="47"/>
      <c r="R152" s="47"/>
      <c r="S152" s="47"/>
      <c r="T152" s="47"/>
      <c r="U152" s="56"/>
      <c r="V152" s="47"/>
      <c r="W152" s="47"/>
      <c r="X152" s="47"/>
      <c r="Y152" s="47"/>
      <c r="Z152" s="47"/>
      <c r="AA152" s="47"/>
    </row>
    <row r="153" spans="1:27" ht="33" customHeight="1" x14ac:dyDescent="0.3">
      <c r="A153" s="39" t="s">
        <v>28</v>
      </c>
      <c r="B153" s="40" t="s">
        <v>29</v>
      </c>
      <c r="C153" s="40"/>
      <c r="D153" s="51"/>
      <c r="E153" s="21">
        <v>164000</v>
      </c>
      <c r="F153" s="21">
        <v>164000</v>
      </c>
      <c r="G153" s="21">
        <v>0</v>
      </c>
      <c r="H153" s="29">
        <f t="shared" si="74"/>
        <v>0</v>
      </c>
      <c r="I153" s="21">
        <v>0</v>
      </c>
      <c r="J153" s="21">
        <f t="shared" si="1"/>
        <v>0</v>
      </c>
      <c r="K153" s="29">
        <v>0</v>
      </c>
      <c r="L153" s="21">
        <f t="shared" si="97"/>
        <v>164000</v>
      </c>
      <c r="M153" s="29">
        <f t="shared" si="98"/>
        <v>100</v>
      </c>
      <c r="N153" s="21">
        <f t="shared" si="3"/>
        <v>164000</v>
      </c>
      <c r="O153" s="29">
        <f t="shared" si="4"/>
        <v>100</v>
      </c>
      <c r="Q153" s="47"/>
      <c r="R153" s="47"/>
      <c r="S153" s="47"/>
      <c r="T153" s="47"/>
      <c r="U153" s="56"/>
      <c r="V153" s="47"/>
      <c r="W153" s="47"/>
      <c r="X153" s="47"/>
      <c r="Y153" s="47"/>
      <c r="Z153" s="47"/>
      <c r="AA153" s="47"/>
    </row>
    <row r="154" spans="1:27" ht="32.25" customHeight="1" x14ac:dyDescent="0.3">
      <c r="A154" s="39" t="s">
        <v>311</v>
      </c>
      <c r="B154" s="40" t="s">
        <v>315</v>
      </c>
      <c r="C154" s="55"/>
      <c r="D154" s="62"/>
      <c r="E154" s="21">
        <v>1917000</v>
      </c>
      <c r="F154" s="93">
        <v>479250</v>
      </c>
      <c r="G154" s="21">
        <v>0</v>
      </c>
      <c r="H154" s="29">
        <f t="shared" si="74"/>
        <v>0</v>
      </c>
      <c r="I154" s="21">
        <v>0</v>
      </c>
      <c r="J154" s="21">
        <f t="shared" si="1"/>
        <v>0</v>
      </c>
      <c r="K154" s="29">
        <f t="shared" si="75"/>
        <v>0</v>
      </c>
      <c r="L154" s="21">
        <f t="shared" si="97"/>
        <v>479250</v>
      </c>
      <c r="M154" s="29">
        <f t="shared" si="98"/>
        <v>100</v>
      </c>
      <c r="N154" s="21">
        <f t="shared" si="3"/>
        <v>1917000</v>
      </c>
      <c r="O154" s="29">
        <f t="shared" si="4"/>
        <v>100</v>
      </c>
      <c r="Q154" s="47"/>
      <c r="R154" s="47"/>
      <c r="S154" s="47"/>
      <c r="T154" s="47"/>
      <c r="U154" s="56"/>
      <c r="V154" s="47"/>
      <c r="W154" s="47"/>
      <c r="X154" s="47"/>
      <c r="Y154" s="47"/>
      <c r="Z154" s="47"/>
      <c r="AA154" s="47"/>
    </row>
    <row r="155" spans="1:27" ht="35.4" customHeight="1" x14ac:dyDescent="0.3">
      <c r="A155" s="39" t="s">
        <v>312</v>
      </c>
      <c r="B155" s="40" t="s">
        <v>313</v>
      </c>
      <c r="C155" s="55"/>
      <c r="D155" s="62"/>
      <c r="E155" s="21">
        <v>1300000</v>
      </c>
      <c r="F155" s="21">
        <v>325000</v>
      </c>
      <c r="G155" s="21">
        <v>0</v>
      </c>
      <c r="H155" s="29">
        <f t="shared" si="74"/>
        <v>0</v>
      </c>
      <c r="I155" s="21">
        <v>0</v>
      </c>
      <c r="J155" s="21">
        <f t="shared" ref="J155" si="99">G155+I155</f>
        <v>0</v>
      </c>
      <c r="K155" s="29">
        <v>0</v>
      </c>
      <c r="L155" s="21">
        <f t="shared" si="97"/>
        <v>325000</v>
      </c>
      <c r="M155" s="29">
        <f t="shared" si="98"/>
        <v>100</v>
      </c>
      <c r="N155" s="21">
        <f t="shared" ref="N155" si="100">E155-J155</f>
        <v>1300000</v>
      </c>
      <c r="O155" s="29">
        <f t="shared" ref="O155" si="101">N155/E155*100</f>
        <v>100</v>
      </c>
      <c r="Q155" s="47"/>
      <c r="R155" s="47"/>
      <c r="S155" s="47"/>
      <c r="T155" s="47"/>
      <c r="U155" s="56"/>
      <c r="V155" s="47"/>
      <c r="W155" s="47"/>
      <c r="X155" s="47"/>
      <c r="Y155" s="47"/>
      <c r="Z155" s="47"/>
      <c r="AA155" s="47"/>
    </row>
    <row r="156" spans="1:27" ht="16.8" customHeight="1" x14ac:dyDescent="0.3">
      <c r="A156" s="57"/>
      <c r="B156" s="13"/>
      <c r="C156" s="12"/>
      <c r="D156" s="15"/>
      <c r="E156" s="14"/>
      <c r="F156" s="14"/>
      <c r="G156" s="19"/>
      <c r="H156" s="28"/>
      <c r="I156" s="19"/>
      <c r="J156" s="19"/>
      <c r="K156" s="28"/>
      <c r="L156" s="19"/>
      <c r="M156" s="28"/>
      <c r="N156" s="19"/>
      <c r="O156" s="28"/>
      <c r="Q156" s="47"/>
      <c r="R156" s="47"/>
      <c r="S156" s="47"/>
      <c r="T156" s="47"/>
      <c r="U156" s="56"/>
      <c r="V156" s="47"/>
      <c r="W156" s="47"/>
      <c r="X156" s="47"/>
      <c r="Y156" s="47"/>
      <c r="Z156" s="47"/>
      <c r="AA156" s="47"/>
    </row>
    <row r="157" spans="1:27" ht="31.5" customHeight="1" x14ac:dyDescent="0.3">
      <c r="A157" s="86" t="s">
        <v>114</v>
      </c>
      <c r="B157" s="10" t="s">
        <v>50</v>
      </c>
      <c r="C157" s="4"/>
      <c r="D157" s="52"/>
      <c r="E157" s="16">
        <f>E158+E166+E176</f>
        <v>336841000</v>
      </c>
      <c r="F157" s="16">
        <f>F158+F166+F176</f>
        <v>226956500</v>
      </c>
      <c r="G157" s="16">
        <f>G158+G166+G176</f>
        <v>0</v>
      </c>
      <c r="H157" s="27">
        <f t="shared" ref="H157:H254" si="102">G157/F157*100</f>
        <v>0</v>
      </c>
      <c r="I157" s="16">
        <f>I158+I166+I176</f>
        <v>6780000</v>
      </c>
      <c r="J157" s="16">
        <f t="shared" ref="J157:J228" si="103">G157+I157</f>
        <v>6780000</v>
      </c>
      <c r="K157" s="27">
        <f t="shared" si="75"/>
        <v>2.9873566079843492</v>
      </c>
      <c r="L157" s="37">
        <f t="shared" ref="L157:L178" si="104">F157-J157</f>
        <v>220176500</v>
      </c>
      <c r="M157" s="41">
        <f t="shared" ref="M157:M178" si="105">L157/F157*100</f>
        <v>97.012643392015647</v>
      </c>
      <c r="N157" s="16">
        <f t="shared" ref="N157:N228" si="106">E157-J157</f>
        <v>330061000</v>
      </c>
      <c r="O157" s="27">
        <f t="shared" ref="O157:O228" si="107">N157/E157*100</f>
        <v>97.987180895437305</v>
      </c>
      <c r="P157" s="80"/>
      <c r="Q157" s="47"/>
      <c r="R157" s="47"/>
      <c r="S157" s="47"/>
      <c r="T157" s="47"/>
      <c r="U157" s="56"/>
      <c r="V157" s="47"/>
      <c r="W157" s="47"/>
      <c r="X157" s="47"/>
      <c r="Y157" s="47"/>
      <c r="Z157" s="47"/>
      <c r="AA157" s="47"/>
    </row>
    <row r="158" spans="1:27" ht="39" customHeight="1" x14ac:dyDescent="0.3">
      <c r="A158" s="87" t="s">
        <v>116</v>
      </c>
      <c r="B158" s="11" t="s">
        <v>51</v>
      </c>
      <c r="C158" s="12" t="s">
        <v>164</v>
      </c>
      <c r="D158" s="15" t="s">
        <v>342</v>
      </c>
      <c r="E158" s="19">
        <f>SUM(E159:E164)</f>
        <v>43306000</v>
      </c>
      <c r="F158" s="19">
        <f>SUM(F159:F163)</f>
        <v>7491500</v>
      </c>
      <c r="G158" s="19">
        <f>SUM(G159:G163)</f>
        <v>0</v>
      </c>
      <c r="H158" s="28">
        <f t="shared" si="102"/>
        <v>0</v>
      </c>
      <c r="I158" s="19">
        <f>SUM(I159:I163)</f>
        <v>5120000</v>
      </c>
      <c r="J158" s="19">
        <f t="shared" si="103"/>
        <v>5120000</v>
      </c>
      <c r="K158" s="28">
        <f t="shared" si="75"/>
        <v>68.344123339785085</v>
      </c>
      <c r="L158" s="22">
        <f t="shared" si="104"/>
        <v>2371500</v>
      </c>
      <c r="M158" s="32">
        <f t="shared" si="105"/>
        <v>31.655876660214911</v>
      </c>
      <c r="N158" s="19">
        <f t="shared" si="106"/>
        <v>38186000</v>
      </c>
      <c r="O158" s="28">
        <f t="shared" si="107"/>
        <v>88.177157899598214</v>
      </c>
      <c r="Q158" s="47"/>
      <c r="R158" s="47"/>
      <c r="S158" s="47"/>
      <c r="T158" s="47"/>
      <c r="U158" s="56"/>
      <c r="V158" s="47"/>
      <c r="W158" s="47"/>
      <c r="X158" s="47"/>
      <c r="Y158" s="47"/>
      <c r="Z158" s="47"/>
      <c r="AA158" s="47"/>
    </row>
    <row r="159" spans="1:27" ht="32.4" customHeight="1" x14ac:dyDescent="0.3">
      <c r="A159" s="39" t="s">
        <v>28</v>
      </c>
      <c r="B159" s="40" t="s">
        <v>29</v>
      </c>
      <c r="C159" s="40"/>
      <c r="D159" s="51"/>
      <c r="E159" s="21">
        <v>1597500</v>
      </c>
      <c r="F159" s="93">
        <v>399375</v>
      </c>
      <c r="G159" s="21">
        <v>0</v>
      </c>
      <c r="H159" s="29">
        <f t="shared" si="102"/>
        <v>0</v>
      </c>
      <c r="I159" s="21">
        <v>0</v>
      </c>
      <c r="J159" s="21">
        <f t="shared" si="103"/>
        <v>0</v>
      </c>
      <c r="K159" s="29">
        <f t="shared" si="75"/>
        <v>0</v>
      </c>
      <c r="L159" s="21">
        <f t="shared" si="104"/>
        <v>399375</v>
      </c>
      <c r="M159" s="29">
        <f t="shared" si="105"/>
        <v>100</v>
      </c>
      <c r="N159" s="21">
        <f t="shared" si="106"/>
        <v>1597500</v>
      </c>
      <c r="O159" s="29">
        <f t="shared" si="107"/>
        <v>100</v>
      </c>
      <c r="Q159" s="47"/>
      <c r="R159" s="47"/>
      <c r="S159" s="47"/>
      <c r="T159" s="47"/>
      <c r="U159" s="56"/>
      <c r="V159" s="47"/>
      <c r="W159" s="47"/>
      <c r="X159" s="47"/>
      <c r="Y159" s="47"/>
      <c r="Z159" s="47"/>
      <c r="AA159" s="47"/>
    </row>
    <row r="160" spans="1:27" ht="30" customHeight="1" x14ac:dyDescent="0.3">
      <c r="A160" s="39" t="s">
        <v>311</v>
      </c>
      <c r="B160" s="40" t="s">
        <v>315</v>
      </c>
      <c r="C160" s="40"/>
      <c r="D160" s="51"/>
      <c r="E160" s="21">
        <v>2988500</v>
      </c>
      <c r="F160" s="93">
        <v>747125</v>
      </c>
      <c r="G160" s="21">
        <v>0</v>
      </c>
      <c r="H160" s="29">
        <f t="shared" si="102"/>
        <v>0</v>
      </c>
      <c r="I160" s="21">
        <v>0</v>
      </c>
      <c r="J160" s="21">
        <f t="shared" si="103"/>
        <v>0</v>
      </c>
      <c r="K160" s="29">
        <f t="shared" si="75"/>
        <v>0</v>
      </c>
      <c r="L160" s="21">
        <f t="shared" si="104"/>
        <v>747125</v>
      </c>
      <c r="M160" s="29">
        <f t="shared" si="105"/>
        <v>100</v>
      </c>
      <c r="N160" s="21">
        <f t="shared" si="106"/>
        <v>2988500</v>
      </c>
      <c r="O160" s="29">
        <f t="shared" si="107"/>
        <v>100</v>
      </c>
      <c r="Q160" s="47"/>
      <c r="R160" s="47"/>
      <c r="S160" s="47"/>
      <c r="T160" s="47"/>
      <c r="U160" s="56"/>
      <c r="V160" s="47"/>
      <c r="W160" s="47"/>
      <c r="X160" s="47"/>
      <c r="Y160" s="47"/>
      <c r="Z160" s="47"/>
      <c r="AA160" s="47"/>
    </row>
    <row r="161" spans="1:27" ht="28.8" customHeight="1" x14ac:dyDescent="0.3">
      <c r="A161" s="39" t="s">
        <v>312</v>
      </c>
      <c r="B161" s="40" t="s">
        <v>313</v>
      </c>
      <c r="C161" s="55"/>
      <c r="D161" s="62"/>
      <c r="E161" s="21">
        <v>4900000</v>
      </c>
      <c r="F161" s="93">
        <v>1225000</v>
      </c>
      <c r="G161" s="21">
        <v>0</v>
      </c>
      <c r="H161" s="29">
        <f t="shared" si="102"/>
        <v>0</v>
      </c>
      <c r="I161" s="21">
        <v>0</v>
      </c>
      <c r="J161" s="21">
        <f t="shared" si="103"/>
        <v>0</v>
      </c>
      <c r="K161" s="29">
        <f t="shared" si="75"/>
        <v>0</v>
      </c>
      <c r="L161" s="21">
        <f t="shared" si="104"/>
        <v>1225000</v>
      </c>
      <c r="M161" s="29">
        <f t="shared" si="105"/>
        <v>100</v>
      </c>
      <c r="N161" s="21">
        <f t="shared" si="106"/>
        <v>4900000</v>
      </c>
      <c r="O161" s="29">
        <f t="shared" si="107"/>
        <v>100</v>
      </c>
      <c r="Q161" s="47"/>
      <c r="R161" s="47"/>
      <c r="S161" s="47"/>
      <c r="T161" s="47"/>
      <c r="U161" s="56"/>
      <c r="V161" s="47"/>
      <c r="W161" s="47"/>
      <c r="X161" s="47"/>
      <c r="Y161" s="47"/>
      <c r="Z161" s="47"/>
      <c r="AA161" s="47"/>
    </row>
    <row r="162" spans="1:27" ht="33.75" customHeight="1" x14ac:dyDescent="0.3">
      <c r="A162" s="39" t="s">
        <v>32</v>
      </c>
      <c r="B162" s="40" t="s">
        <v>16</v>
      </c>
      <c r="C162" s="55"/>
      <c r="D162" s="62"/>
      <c r="E162" s="21">
        <v>4480000</v>
      </c>
      <c r="F162" s="93">
        <v>1120000</v>
      </c>
      <c r="G162" s="21">
        <v>0</v>
      </c>
      <c r="H162" s="29">
        <f t="shared" si="102"/>
        <v>0</v>
      </c>
      <c r="I162" s="21">
        <f>1120000</f>
        <v>1120000</v>
      </c>
      <c r="J162" s="21">
        <f t="shared" si="103"/>
        <v>1120000</v>
      </c>
      <c r="K162" s="29">
        <f t="shared" si="75"/>
        <v>100</v>
      </c>
      <c r="L162" s="21">
        <f t="shared" si="104"/>
        <v>0</v>
      </c>
      <c r="M162" s="29">
        <f t="shared" si="105"/>
        <v>0</v>
      </c>
      <c r="N162" s="21">
        <f t="shared" si="106"/>
        <v>3360000</v>
      </c>
      <c r="O162" s="29">
        <f t="shared" si="107"/>
        <v>75</v>
      </c>
      <c r="Q162" s="47"/>
      <c r="R162" s="47"/>
      <c r="S162" s="47"/>
      <c r="T162" s="47"/>
      <c r="U162" s="56"/>
      <c r="V162" s="47"/>
      <c r="W162" s="47"/>
      <c r="X162" s="47"/>
      <c r="Y162" s="47"/>
      <c r="Z162" s="47"/>
      <c r="AA162" s="47"/>
    </row>
    <row r="163" spans="1:27" ht="35.25" customHeight="1" x14ac:dyDescent="0.3">
      <c r="A163" s="39" t="s">
        <v>267</v>
      </c>
      <c r="B163" s="40" t="s">
        <v>34</v>
      </c>
      <c r="C163" s="55"/>
      <c r="D163" s="62"/>
      <c r="E163" s="21">
        <v>24000000</v>
      </c>
      <c r="F163" s="93">
        <v>4000000</v>
      </c>
      <c r="G163" s="21">
        <v>0</v>
      </c>
      <c r="H163" s="29">
        <f t="shared" si="102"/>
        <v>0</v>
      </c>
      <c r="I163" s="21">
        <f>4000000</f>
        <v>4000000</v>
      </c>
      <c r="J163" s="21">
        <f t="shared" si="103"/>
        <v>4000000</v>
      </c>
      <c r="K163" s="29">
        <f t="shared" si="75"/>
        <v>100</v>
      </c>
      <c r="L163" s="21">
        <f t="shared" si="104"/>
        <v>0</v>
      </c>
      <c r="M163" s="29">
        <f t="shared" si="105"/>
        <v>0</v>
      </c>
      <c r="N163" s="21">
        <f t="shared" si="106"/>
        <v>20000000</v>
      </c>
      <c r="O163" s="29">
        <f t="shared" si="107"/>
        <v>83.333333333333343</v>
      </c>
      <c r="Q163" s="47"/>
      <c r="R163" s="47"/>
      <c r="S163" s="47"/>
      <c r="T163" s="47"/>
      <c r="U163" s="56"/>
      <c r="V163" s="47"/>
      <c r="W163" s="47"/>
      <c r="X163" s="47"/>
      <c r="Y163" s="47"/>
      <c r="Z163" s="47"/>
      <c r="AA163" s="47"/>
    </row>
    <row r="164" spans="1:27" ht="35.25" customHeight="1" x14ac:dyDescent="0.3">
      <c r="A164" s="39" t="s">
        <v>52</v>
      </c>
      <c r="B164" s="40" t="s">
        <v>63</v>
      </c>
      <c r="C164" s="55"/>
      <c r="D164" s="62"/>
      <c r="E164" s="21">
        <v>5340000</v>
      </c>
      <c r="F164" s="21">
        <v>0</v>
      </c>
      <c r="G164" s="21">
        <v>0</v>
      </c>
      <c r="H164" s="29">
        <v>0</v>
      </c>
      <c r="I164" s="21">
        <v>0</v>
      </c>
      <c r="J164" s="21">
        <f t="shared" ref="J164" si="108">G164+I164</f>
        <v>0</v>
      </c>
      <c r="K164" s="29">
        <v>0</v>
      </c>
      <c r="L164" s="21">
        <f t="shared" ref="L164" si="109">F164-J164</f>
        <v>0</v>
      </c>
      <c r="M164" s="29">
        <v>0</v>
      </c>
      <c r="N164" s="21">
        <f t="shared" ref="N164" si="110">E164-J164</f>
        <v>5340000</v>
      </c>
      <c r="O164" s="29">
        <f t="shared" ref="O164" si="111">N164/E164*100</f>
        <v>100</v>
      </c>
      <c r="Q164" s="47"/>
      <c r="R164" s="47"/>
      <c r="S164" s="47"/>
      <c r="T164" s="47"/>
      <c r="U164" s="56"/>
      <c r="V164" s="47"/>
      <c r="W164" s="47"/>
      <c r="X164" s="47"/>
      <c r="Y164" s="47"/>
      <c r="Z164" s="47"/>
      <c r="AA164" s="47"/>
    </row>
    <row r="165" spans="1:27" ht="17.399999999999999" customHeight="1" x14ac:dyDescent="0.3">
      <c r="A165" s="57"/>
      <c r="B165" s="13"/>
      <c r="C165" s="12"/>
      <c r="D165" s="15"/>
      <c r="E165" s="14"/>
      <c r="F165" s="14"/>
      <c r="G165" s="19"/>
      <c r="H165" s="28"/>
      <c r="I165" s="19"/>
      <c r="J165" s="19"/>
      <c r="K165" s="28"/>
      <c r="L165" s="22"/>
      <c r="M165" s="32"/>
      <c r="N165" s="19"/>
      <c r="O165" s="28"/>
      <c r="Q165" s="47"/>
      <c r="R165" s="47"/>
      <c r="S165" s="47"/>
      <c r="T165" s="47"/>
      <c r="U165" s="56"/>
      <c r="V165" s="47"/>
      <c r="W165" s="47"/>
      <c r="X165" s="47"/>
      <c r="Y165" s="47"/>
      <c r="Z165" s="47"/>
      <c r="AA165" s="47"/>
    </row>
    <row r="166" spans="1:27" ht="37.799999999999997" customHeight="1" x14ac:dyDescent="0.3">
      <c r="A166" s="87" t="s">
        <v>271</v>
      </c>
      <c r="B166" s="11" t="s">
        <v>117</v>
      </c>
      <c r="C166" s="12" t="s">
        <v>164</v>
      </c>
      <c r="D166" s="15" t="s">
        <v>295</v>
      </c>
      <c r="E166" s="19">
        <f>SUM(E167:E174)</f>
        <v>54465000</v>
      </c>
      <c r="F166" s="19">
        <f>SUM(F167:F174)</f>
        <v>54465000</v>
      </c>
      <c r="G166" s="19">
        <f>SUM(G167:G174)</f>
        <v>0</v>
      </c>
      <c r="H166" s="28">
        <f t="shared" si="102"/>
        <v>0</v>
      </c>
      <c r="I166" s="19">
        <f>SUM(I167:I174)</f>
        <v>0</v>
      </c>
      <c r="J166" s="19">
        <f t="shared" si="103"/>
        <v>0</v>
      </c>
      <c r="K166" s="28">
        <f t="shared" si="75"/>
        <v>0</v>
      </c>
      <c r="L166" s="22">
        <f t="shared" si="104"/>
        <v>54465000</v>
      </c>
      <c r="M166" s="32">
        <f t="shared" si="105"/>
        <v>100</v>
      </c>
      <c r="N166" s="19">
        <f t="shared" si="106"/>
        <v>54465000</v>
      </c>
      <c r="O166" s="28">
        <f t="shared" si="107"/>
        <v>100</v>
      </c>
      <c r="Q166" s="47"/>
      <c r="R166" s="47"/>
      <c r="S166" s="47"/>
      <c r="T166" s="47"/>
      <c r="U166" s="56"/>
      <c r="V166" s="47"/>
      <c r="W166" s="47"/>
      <c r="X166" s="47"/>
      <c r="Y166" s="47"/>
      <c r="Z166" s="47"/>
      <c r="AA166" s="47"/>
    </row>
    <row r="167" spans="1:27" ht="31.8" customHeight="1" x14ac:dyDescent="0.3">
      <c r="A167" s="39" t="s">
        <v>28</v>
      </c>
      <c r="B167" s="40" t="s">
        <v>29</v>
      </c>
      <c r="C167" s="40"/>
      <c r="D167" s="51"/>
      <c r="E167" s="21">
        <v>335000</v>
      </c>
      <c r="F167" s="21">
        <v>335000</v>
      </c>
      <c r="G167" s="22">
        <v>0</v>
      </c>
      <c r="H167" s="29">
        <f t="shared" si="102"/>
        <v>0</v>
      </c>
      <c r="I167" s="21">
        <v>0</v>
      </c>
      <c r="J167" s="21">
        <f t="shared" si="103"/>
        <v>0</v>
      </c>
      <c r="K167" s="29">
        <f t="shared" si="75"/>
        <v>0</v>
      </c>
      <c r="L167" s="21">
        <f t="shared" si="104"/>
        <v>335000</v>
      </c>
      <c r="M167" s="29">
        <f t="shared" si="105"/>
        <v>100</v>
      </c>
      <c r="N167" s="21">
        <f t="shared" si="106"/>
        <v>335000</v>
      </c>
      <c r="O167" s="29">
        <f t="shared" si="107"/>
        <v>100</v>
      </c>
      <c r="Q167" s="47"/>
      <c r="R167" s="47"/>
      <c r="S167" s="47"/>
      <c r="T167" s="47"/>
      <c r="U167" s="56"/>
      <c r="V167" s="47"/>
      <c r="W167" s="47"/>
      <c r="X167" s="47"/>
      <c r="Y167" s="47"/>
      <c r="Z167" s="47"/>
      <c r="AA167" s="47"/>
    </row>
    <row r="168" spans="1:27" ht="29.4" customHeight="1" x14ac:dyDescent="0.3">
      <c r="A168" s="39" t="s">
        <v>311</v>
      </c>
      <c r="B168" s="40" t="s">
        <v>315</v>
      </c>
      <c r="C168" s="55"/>
      <c r="D168" s="62"/>
      <c r="E168" s="21">
        <v>564000</v>
      </c>
      <c r="F168" s="21">
        <v>564000</v>
      </c>
      <c r="G168" s="21">
        <v>0</v>
      </c>
      <c r="H168" s="29">
        <f t="shared" si="102"/>
        <v>0</v>
      </c>
      <c r="I168" s="21">
        <v>0</v>
      </c>
      <c r="J168" s="21">
        <f t="shared" si="103"/>
        <v>0</v>
      </c>
      <c r="K168" s="29">
        <f t="shared" si="75"/>
        <v>0</v>
      </c>
      <c r="L168" s="21">
        <f t="shared" si="104"/>
        <v>564000</v>
      </c>
      <c r="M168" s="29">
        <f t="shared" si="105"/>
        <v>100</v>
      </c>
      <c r="N168" s="21">
        <f t="shared" si="106"/>
        <v>564000</v>
      </c>
      <c r="O168" s="29">
        <f t="shared" si="107"/>
        <v>100</v>
      </c>
      <c r="Q168" s="47"/>
      <c r="R168" s="47"/>
      <c r="S168" s="47"/>
      <c r="T168" s="47"/>
      <c r="U168" s="56"/>
      <c r="V168" s="47"/>
      <c r="W168" s="47"/>
      <c r="X168" s="47"/>
      <c r="Y168" s="47"/>
      <c r="Z168" s="47"/>
      <c r="AA168" s="47"/>
    </row>
    <row r="169" spans="1:27" ht="33.75" customHeight="1" x14ac:dyDescent="0.3">
      <c r="A169" s="39" t="s">
        <v>31</v>
      </c>
      <c r="B169" s="40" t="s">
        <v>30</v>
      </c>
      <c r="C169" s="55"/>
      <c r="D169" s="62"/>
      <c r="E169" s="21">
        <v>3966000</v>
      </c>
      <c r="F169" s="21">
        <v>3966000</v>
      </c>
      <c r="G169" s="21">
        <v>0</v>
      </c>
      <c r="H169" s="29">
        <f t="shared" si="102"/>
        <v>0</v>
      </c>
      <c r="I169" s="21">
        <v>0</v>
      </c>
      <c r="J169" s="21">
        <f t="shared" si="103"/>
        <v>0</v>
      </c>
      <c r="K169" s="29">
        <f t="shared" si="75"/>
        <v>0</v>
      </c>
      <c r="L169" s="21">
        <f t="shared" si="104"/>
        <v>3966000</v>
      </c>
      <c r="M169" s="29">
        <f t="shared" si="105"/>
        <v>100</v>
      </c>
      <c r="N169" s="21">
        <f t="shared" si="106"/>
        <v>3966000</v>
      </c>
      <c r="O169" s="29">
        <f t="shared" si="107"/>
        <v>100</v>
      </c>
      <c r="Q169" s="47"/>
      <c r="R169" s="47"/>
      <c r="S169" s="47"/>
      <c r="T169" s="47"/>
      <c r="U169" s="56"/>
      <c r="V169" s="47"/>
      <c r="W169" s="47"/>
      <c r="X169" s="47"/>
      <c r="Y169" s="47"/>
      <c r="Z169" s="47"/>
      <c r="AA169" s="47"/>
    </row>
    <row r="170" spans="1:27" ht="33.75" customHeight="1" x14ac:dyDescent="0.3">
      <c r="A170" s="39" t="s">
        <v>312</v>
      </c>
      <c r="B170" s="40" t="s">
        <v>313</v>
      </c>
      <c r="C170" s="55"/>
      <c r="D170" s="62"/>
      <c r="E170" s="21">
        <v>800000</v>
      </c>
      <c r="F170" s="21">
        <v>800000</v>
      </c>
      <c r="G170" s="21">
        <v>0</v>
      </c>
      <c r="H170" s="29">
        <f t="shared" ref="H170" si="112">G170/F170*100</f>
        <v>0</v>
      </c>
      <c r="I170" s="21">
        <v>0</v>
      </c>
      <c r="J170" s="21">
        <f t="shared" ref="J170" si="113">G170+I170</f>
        <v>0</v>
      </c>
      <c r="K170" s="29">
        <f t="shared" ref="K170" si="114">J170/F170*100</f>
        <v>0</v>
      </c>
      <c r="L170" s="21">
        <f t="shared" ref="L170" si="115">F170-J170</f>
        <v>800000</v>
      </c>
      <c r="M170" s="29">
        <f t="shared" ref="M170" si="116">L170/F170*100</f>
        <v>100</v>
      </c>
      <c r="N170" s="21">
        <f t="shared" ref="N170" si="117">E170-J170</f>
        <v>800000</v>
      </c>
      <c r="O170" s="29">
        <f t="shared" ref="O170" si="118">N170/E170*100</f>
        <v>100</v>
      </c>
      <c r="Q170" s="47"/>
      <c r="R170" s="47"/>
      <c r="S170" s="47"/>
      <c r="T170" s="47"/>
      <c r="U170" s="56"/>
      <c r="V170" s="47"/>
      <c r="W170" s="47"/>
      <c r="X170" s="47"/>
      <c r="Y170" s="47"/>
      <c r="Z170" s="47"/>
      <c r="AA170" s="47"/>
    </row>
    <row r="171" spans="1:27" ht="24" customHeight="1" x14ac:dyDescent="0.3">
      <c r="A171" s="39" t="s">
        <v>32</v>
      </c>
      <c r="B171" s="40" t="s">
        <v>16</v>
      </c>
      <c r="C171" s="55"/>
      <c r="D171" s="62"/>
      <c r="E171" s="21">
        <v>38200000</v>
      </c>
      <c r="F171" s="21">
        <v>38200000</v>
      </c>
      <c r="G171" s="21">
        <v>0</v>
      </c>
      <c r="H171" s="29">
        <f t="shared" si="102"/>
        <v>0</v>
      </c>
      <c r="I171" s="21">
        <v>0</v>
      </c>
      <c r="J171" s="21">
        <f t="shared" si="103"/>
        <v>0</v>
      </c>
      <c r="K171" s="29">
        <f t="shared" si="75"/>
        <v>0</v>
      </c>
      <c r="L171" s="21">
        <f t="shared" si="104"/>
        <v>38200000</v>
      </c>
      <c r="M171" s="29">
        <f t="shared" si="105"/>
        <v>100</v>
      </c>
      <c r="N171" s="21">
        <f t="shared" si="106"/>
        <v>38200000</v>
      </c>
      <c r="O171" s="29">
        <f t="shared" si="107"/>
        <v>100</v>
      </c>
      <c r="Q171" s="47"/>
      <c r="R171" s="47"/>
      <c r="S171" s="47"/>
      <c r="T171" s="47"/>
      <c r="U171" s="56"/>
      <c r="V171" s="47"/>
      <c r="W171" s="47"/>
      <c r="X171" s="47"/>
      <c r="Y171" s="47"/>
      <c r="Z171" s="47"/>
      <c r="AA171" s="47"/>
    </row>
    <row r="172" spans="1:27" ht="29.4" customHeight="1" x14ac:dyDescent="0.3">
      <c r="A172" s="39" t="s">
        <v>73</v>
      </c>
      <c r="B172" s="40" t="s">
        <v>272</v>
      </c>
      <c r="C172" s="55"/>
      <c r="D172" s="62"/>
      <c r="E172" s="21">
        <v>7500000</v>
      </c>
      <c r="F172" s="21">
        <v>7500000</v>
      </c>
      <c r="G172" s="21">
        <v>0</v>
      </c>
      <c r="H172" s="29">
        <f t="shared" si="102"/>
        <v>0</v>
      </c>
      <c r="I172" s="21">
        <v>0</v>
      </c>
      <c r="J172" s="21">
        <f t="shared" si="103"/>
        <v>0</v>
      </c>
      <c r="K172" s="29">
        <f t="shared" si="75"/>
        <v>0</v>
      </c>
      <c r="L172" s="21">
        <f t="shared" si="104"/>
        <v>7500000</v>
      </c>
      <c r="M172" s="29">
        <f t="shared" si="105"/>
        <v>100</v>
      </c>
      <c r="N172" s="21">
        <f t="shared" si="106"/>
        <v>7500000</v>
      </c>
      <c r="O172" s="29">
        <f t="shared" si="107"/>
        <v>100</v>
      </c>
      <c r="Q172" s="47"/>
      <c r="R172" s="47"/>
      <c r="S172" s="47"/>
      <c r="T172" s="47"/>
      <c r="U172" s="56"/>
      <c r="V172" s="47"/>
      <c r="W172" s="47"/>
      <c r="X172" s="47"/>
      <c r="Y172" s="47"/>
      <c r="Z172" s="47"/>
      <c r="AA172" s="47"/>
    </row>
    <row r="173" spans="1:27" ht="35.25" customHeight="1" x14ac:dyDescent="0.3">
      <c r="A173" s="39" t="s">
        <v>273</v>
      </c>
      <c r="B173" s="40" t="s">
        <v>274</v>
      </c>
      <c r="C173" s="55"/>
      <c r="D173" s="62"/>
      <c r="E173" s="21">
        <v>1600000</v>
      </c>
      <c r="F173" s="21">
        <v>1600000</v>
      </c>
      <c r="G173" s="21">
        <v>0</v>
      </c>
      <c r="H173" s="29">
        <f t="shared" si="102"/>
        <v>0</v>
      </c>
      <c r="I173" s="21">
        <v>0</v>
      </c>
      <c r="J173" s="21">
        <f t="shared" si="103"/>
        <v>0</v>
      </c>
      <c r="K173" s="29">
        <f t="shared" si="75"/>
        <v>0</v>
      </c>
      <c r="L173" s="21">
        <f t="shared" si="104"/>
        <v>1600000</v>
      </c>
      <c r="M173" s="29">
        <f t="shared" si="105"/>
        <v>100</v>
      </c>
      <c r="N173" s="21">
        <f t="shared" si="106"/>
        <v>1600000</v>
      </c>
      <c r="O173" s="29">
        <f t="shared" si="107"/>
        <v>100</v>
      </c>
      <c r="Q173" s="47"/>
      <c r="R173" s="47"/>
      <c r="S173" s="47"/>
      <c r="T173" s="47"/>
      <c r="U173" s="56"/>
      <c r="V173" s="47"/>
      <c r="W173" s="47"/>
      <c r="X173" s="47"/>
      <c r="Y173" s="47"/>
      <c r="Z173" s="47"/>
      <c r="AA173" s="47"/>
    </row>
    <row r="174" spans="1:27" ht="26.4" customHeight="1" x14ac:dyDescent="0.3">
      <c r="A174" s="39" t="s">
        <v>410</v>
      </c>
      <c r="B174" s="40" t="s">
        <v>76</v>
      </c>
      <c r="C174" s="55"/>
      <c r="D174" s="62"/>
      <c r="E174" s="21">
        <v>1500000</v>
      </c>
      <c r="F174" s="21">
        <v>1500000</v>
      </c>
      <c r="G174" s="21">
        <v>0</v>
      </c>
      <c r="H174" s="29">
        <f t="shared" si="102"/>
        <v>0</v>
      </c>
      <c r="I174" s="21">
        <v>0</v>
      </c>
      <c r="J174" s="21">
        <f t="shared" si="103"/>
        <v>0</v>
      </c>
      <c r="K174" s="29">
        <f t="shared" si="75"/>
        <v>0</v>
      </c>
      <c r="L174" s="21">
        <f t="shared" si="104"/>
        <v>1500000</v>
      </c>
      <c r="M174" s="29">
        <f t="shared" si="105"/>
        <v>100</v>
      </c>
      <c r="N174" s="21">
        <f t="shared" si="106"/>
        <v>1500000</v>
      </c>
      <c r="O174" s="29">
        <f t="shared" si="107"/>
        <v>100</v>
      </c>
      <c r="Q174" s="47"/>
      <c r="R174" s="47"/>
      <c r="S174" s="47"/>
      <c r="T174" s="47"/>
      <c r="U174" s="56"/>
      <c r="V174" s="47"/>
      <c r="W174" s="47"/>
      <c r="X174" s="47"/>
      <c r="Y174" s="47"/>
      <c r="Z174" s="47"/>
      <c r="AA174" s="47"/>
    </row>
    <row r="175" spans="1:27" ht="18" customHeight="1" x14ac:dyDescent="0.3">
      <c r="A175" s="57"/>
      <c r="B175" s="13"/>
      <c r="C175" s="12"/>
      <c r="D175" s="15"/>
      <c r="E175" s="14"/>
      <c r="F175" s="14"/>
      <c r="G175" s="19"/>
      <c r="H175" s="28"/>
      <c r="I175" s="19"/>
      <c r="J175" s="19"/>
      <c r="K175" s="28"/>
      <c r="L175" s="22"/>
      <c r="M175" s="32"/>
      <c r="N175" s="19"/>
      <c r="O175" s="28"/>
      <c r="Q175" s="47"/>
      <c r="R175" s="47"/>
      <c r="S175" s="47"/>
      <c r="T175" s="47"/>
      <c r="U175" s="56"/>
      <c r="V175" s="47"/>
      <c r="W175" s="47"/>
      <c r="X175" s="47"/>
      <c r="Y175" s="47"/>
      <c r="Z175" s="47"/>
      <c r="AA175" s="47"/>
    </row>
    <row r="176" spans="1:27" ht="34.200000000000003" customHeight="1" x14ac:dyDescent="0.3">
      <c r="A176" s="87" t="s">
        <v>118</v>
      </c>
      <c r="B176" s="11" t="s">
        <v>53</v>
      </c>
      <c r="C176" s="12" t="s">
        <v>164</v>
      </c>
      <c r="D176" s="15" t="s">
        <v>294</v>
      </c>
      <c r="E176" s="19">
        <f>E177+E178</f>
        <v>239070000</v>
      </c>
      <c r="F176" s="19">
        <f>F177+F178</f>
        <v>165000000</v>
      </c>
      <c r="G176" s="19">
        <f>G177+G178</f>
        <v>0</v>
      </c>
      <c r="H176" s="28">
        <f t="shared" si="102"/>
        <v>0</v>
      </c>
      <c r="I176" s="19">
        <f>I177+I178</f>
        <v>1660000</v>
      </c>
      <c r="J176" s="22">
        <f t="shared" si="103"/>
        <v>1660000</v>
      </c>
      <c r="K176" s="28">
        <f t="shared" si="75"/>
        <v>1.0060606060606059</v>
      </c>
      <c r="L176" s="22">
        <f t="shared" si="104"/>
        <v>163340000</v>
      </c>
      <c r="M176" s="32">
        <f t="shared" si="105"/>
        <v>98.993939393939385</v>
      </c>
      <c r="N176" s="22">
        <f t="shared" si="106"/>
        <v>237410000</v>
      </c>
      <c r="O176" s="32">
        <f t="shared" si="107"/>
        <v>99.305642698791146</v>
      </c>
      <c r="Q176" s="47"/>
      <c r="R176" s="47"/>
      <c r="S176" s="47"/>
      <c r="T176" s="47"/>
      <c r="U176" s="56"/>
      <c r="V176" s="47"/>
      <c r="W176" s="47"/>
      <c r="X176" s="47"/>
      <c r="Y176" s="47"/>
      <c r="Z176" s="47"/>
      <c r="AA176" s="47"/>
    </row>
    <row r="177" spans="1:27" ht="24.6" customHeight="1" x14ac:dyDescent="0.3">
      <c r="A177" s="39" t="s">
        <v>275</v>
      </c>
      <c r="B177" s="40" t="s">
        <v>276</v>
      </c>
      <c r="C177" s="55"/>
      <c r="D177" s="62"/>
      <c r="E177" s="21">
        <v>145000000</v>
      </c>
      <c r="F177" s="93">
        <v>120000000</v>
      </c>
      <c r="G177" s="21">
        <v>0</v>
      </c>
      <c r="H177" s="29">
        <f t="shared" si="102"/>
        <v>0</v>
      </c>
      <c r="I177" s="21">
        <v>0</v>
      </c>
      <c r="J177" s="21">
        <f t="shared" si="103"/>
        <v>0</v>
      </c>
      <c r="K177" s="29">
        <f t="shared" si="75"/>
        <v>0</v>
      </c>
      <c r="L177" s="21">
        <f t="shared" si="104"/>
        <v>120000000</v>
      </c>
      <c r="M177" s="29">
        <f t="shared" si="105"/>
        <v>100</v>
      </c>
      <c r="N177" s="21">
        <f t="shared" si="106"/>
        <v>145000000</v>
      </c>
      <c r="O177" s="29">
        <f t="shared" si="107"/>
        <v>100</v>
      </c>
      <c r="Q177" s="47"/>
      <c r="R177" s="47"/>
      <c r="S177" s="47"/>
      <c r="T177" s="47"/>
      <c r="U177" s="56"/>
      <c r="V177" s="47"/>
      <c r="W177" s="47"/>
      <c r="X177" s="47"/>
      <c r="Y177" s="47"/>
      <c r="Z177" s="47"/>
      <c r="AA177" s="47"/>
    </row>
    <row r="178" spans="1:27" ht="26.4" customHeight="1" x14ac:dyDescent="0.3">
      <c r="A178" s="39" t="s">
        <v>52</v>
      </c>
      <c r="B178" s="40" t="s">
        <v>63</v>
      </c>
      <c r="C178" s="55"/>
      <c r="D178" s="62"/>
      <c r="E178" s="21">
        <v>94070000</v>
      </c>
      <c r="F178" s="96">
        <v>45000000</v>
      </c>
      <c r="G178" s="21">
        <v>0</v>
      </c>
      <c r="H178" s="29">
        <f t="shared" si="102"/>
        <v>0</v>
      </c>
      <c r="I178" s="21">
        <f>1660000</f>
        <v>1660000</v>
      </c>
      <c r="J178" s="21">
        <f t="shared" si="103"/>
        <v>1660000</v>
      </c>
      <c r="K178" s="29">
        <f t="shared" si="75"/>
        <v>3.6888888888888887</v>
      </c>
      <c r="L178" s="21">
        <f t="shared" si="104"/>
        <v>43340000</v>
      </c>
      <c r="M178" s="29">
        <f t="shared" si="105"/>
        <v>96.311111111111117</v>
      </c>
      <c r="N178" s="21">
        <f t="shared" si="106"/>
        <v>92410000</v>
      </c>
      <c r="O178" s="29">
        <f t="shared" si="107"/>
        <v>98.235356649303711</v>
      </c>
      <c r="Q178" s="47"/>
      <c r="R178" s="47"/>
      <c r="S178" s="47"/>
      <c r="T178" s="47"/>
      <c r="U178" s="56"/>
      <c r="V178" s="47"/>
      <c r="W178" s="47"/>
      <c r="X178" s="47"/>
      <c r="Y178" s="47"/>
      <c r="Z178" s="47"/>
      <c r="AA178" s="47"/>
    </row>
    <row r="179" spans="1:27" ht="19.8" customHeight="1" x14ac:dyDescent="0.3">
      <c r="A179" s="57"/>
      <c r="B179" s="13"/>
      <c r="C179" s="12"/>
      <c r="D179" s="15"/>
      <c r="E179" s="14"/>
      <c r="F179" s="14"/>
      <c r="G179" s="19"/>
      <c r="H179" s="28"/>
      <c r="I179" s="19"/>
      <c r="J179" s="19"/>
      <c r="K179" s="28"/>
      <c r="L179" s="19"/>
      <c r="M179" s="28"/>
      <c r="N179" s="19"/>
      <c r="O179" s="28"/>
      <c r="Q179" s="47"/>
      <c r="R179" s="47"/>
      <c r="S179" s="47"/>
      <c r="T179" s="47"/>
      <c r="U179" s="56"/>
      <c r="V179" s="47"/>
      <c r="W179" s="47"/>
      <c r="X179" s="47"/>
      <c r="Y179" s="47"/>
      <c r="Z179" s="47"/>
      <c r="AA179" s="47"/>
    </row>
    <row r="180" spans="1:27" ht="33.75" customHeight="1" x14ac:dyDescent="0.3">
      <c r="A180" s="86" t="s">
        <v>119</v>
      </c>
      <c r="B180" s="10" t="s">
        <v>78</v>
      </c>
      <c r="C180" s="4"/>
      <c r="D180" s="52"/>
      <c r="E180" s="16">
        <f>E181+E184+E187+E190+E196+E199+E202</f>
        <v>680608370</v>
      </c>
      <c r="F180" s="16">
        <f>F181+F184+F187+F190+F196+F199+F202</f>
        <v>192999250</v>
      </c>
      <c r="G180" s="16">
        <f>G181+G184+G187+G190+G196+G199+G202</f>
        <v>0</v>
      </c>
      <c r="H180" s="27">
        <f t="shared" si="102"/>
        <v>0</v>
      </c>
      <c r="I180" s="16">
        <f>I181+I184+I187+I190+I196+I199+I202</f>
        <v>89040305</v>
      </c>
      <c r="J180" s="16">
        <f t="shared" si="103"/>
        <v>89040305</v>
      </c>
      <c r="K180" s="27">
        <f t="shared" si="75"/>
        <v>46.135052338286286</v>
      </c>
      <c r="L180" s="37">
        <f t="shared" ref="L180:L182" si="119">F180-J180</f>
        <v>103958945</v>
      </c>
      <c r="M180" s="41">
        <f t="shared" ref="M180:M182" si="120">L180/F180*100</f>
        <v>53.864947661713714</v>
      </c>
      <c r="N180" s="16">
        <f t="shared" si="106"/>
        <v>591568065</v>
      </c>
      <c r="O180" s="27">
        <f t="shared" si="107"/>
        <v>86.917541875072729</v>
      </c>
      <c r="P180" s="80"/>
      <c r="Q180" s="47"/>
      <c r="R180" s="47"/>
      <c r="S180" s="47"/>
      <c r="T180" s="47"/>
      <c r="U180" s="56"/>
      <c r="V180" s="47"/>
      <c r="W180" s="47"/>
      <c r="X180" s="47"/>
      <c r="Y180" s="47"/>
      <c r="Z180" s="47"/>
      <c r="AA180" s="47"/>
    </row>
    <row r="181" spans="1:27" ht="34.5" customHeight="1" x14ac:dyDescent="0.3">
      <c r="A181" s="87" t="s">
        <v>120</v>
      </c>
      <c r="B181" s="11" t="s">
        <v>54</v>
      </c>
      <c r="C181" s="12"/>
      <c r="D181" s="15"/>
      <c r="E181" s="19">
        <f>E182</f>
        <v>5300000</v>
      </c>
      <c r="F181" s="19">
        <f>F182</f>
        <v>2650000</v>
      </c>
      <c r="G181" s="19">
        <f>G182</f>
        <v>0</v>
      </c>
      <c r="H181" s="28">
        <f t="shared" si="102"/>
        <v>0</v>
      </c>
      <c r="I181" s="19">
        <f>I182</f>
        <v>0</v>
      </c>
      <c r="J181" s="19">
        <f t="shared" si="103"/>
        <v>0</v>
      </c>
      <c r="K181" s="28">
        <f t="shared" si="75"/>
        <v>0</v>
      </c>
      <c r="L181" s="22">
        <f t="shared" si="119"/>
        <v>2650000</v>
      </c>
      <c r="M181" s="32">
        <f t="shared" si="120"/>
        <v>100</v>
      </c>
      <c r="N181" s="19">
        <f t="shared" si="106"/>
        <v>5300000</v>
      </c>
      <c r="O181" s="28">
        <f t="shared" si="107"/>
        <v>100</v>
      </c>
      <c r="Q181" s="47"/>
      <c r="R181" s="47"/>
      <c r="S181" s="47"/>
      <c r="T181" s="47"/>
      <c r="U181" s="56"/>
      <c r="V181" s="47"/>
      <c r="W181" s="47"/>
      <c r="X181" s="47"/>
      <c r="Y181" s="47"/>
      <c r="Z181" s="47"/>
      <c r="AA181" s="47"/>
    </row>
    <row r="182" spans="1:27" ht="31.8" customHeight="1" x14ac:dyDescent="0.3">
      <c r="A182" s="39" t="s">
        <v>277</v>
      </c>
      <c r="B182" s="40" t="s">
        <v>278</v>
      </c>
      <c r="C182" s="12" t="s">
        <v>164</v>
      </c>
      <c r="D182" s="15" t="s">
        <v>294</v>
      </c>
      <c r="E182" s="21">
        <v>5300000</v>
      </c>
      <c r="F182" s="92">
        <v>2650000</v>
      </c>
      <c r="G182" s="21">
        <v>0</v>
      </c>
      <c r="H182" s="30">
        <f t="shared" si="102"/>
        <v>0</v>
      </c>
      <c r="I182" s="21">
        <v>0</v>
      </c>
      <c r="J182" s="21">
        <f t="shared" si="103"/>
        <v>0</v>
      </c>
      <c r="K182" s="30">
        <f t="shared" si="75"/>
        <v>0</v>
      </c>
      <c r="L182" s="21">
        <f t="shared" si="119"/>
        <v>2650000</v>
      </c>
      <c r="M182" s="29">
        <f t="shared" si="120"/>
        <v>100</v>
      </c>
      <c r="N182" s="21">
        <f t="shared" si="106"/>
        <v>5300000</v>
      </c>
      <c r="O182" s="29">
        <f t="shared" si="107"/>
        <v>100</v>
      </c>
      <c r="Q182" s="47"/>
      <c r="R182" s="47"/>
      <c r="S182" s="47"/>
      <c r="T182" s="47"/>
      <c r="U182" s="56"/>
      <c r="V182" s="47"/>
      <c r="W182" s="47"/>
      <c r="X182" s="47"/>
      <c r="Y182" s="47"/>
      <c r="Z182" s="47"/>
      <c r="AA182" s="47"/>
    </row>
    <row r="183" spans="1:27" ht="18" customHeight="1" x14ac:dyDescent="0.3">
      <c r="A183" s="57"/>
      <c r="B183" s="13"/>
      <c r="C183" s="12"/>
      <c r="D183" s="15"/>
      <c r="E183" s="14"/>
      <c r="F183" s="14"/>
      <c r="G183" s="14"/>
      <c r="H183" s="30"/>
      <c r="I183" s="14"/>
      <c r="J183" s="19"/>
      <c r="K183" s="28"/>
      <c r="L183" s="19"/>
      <c r="M183" s="28"/>
      <c r="N183" s="19"/>
      <c r="O183" s="28"/>
      <c r="Q183" s="47"/>
      <c r="R183" s="47"/>
      <c r="S183" s="47"/>
      <c r="T183" s="47"/>
      <c r="U183" s="56"/>
      <c r="V183" s="47"/>
      <c r="W183" s="47"/>
      <c r="X183" s="47"/>
      <c r="Y183" s="47"/>
      <c r="Z183" s="47"/>
      <c r="AA183" s="47"/>
    </row>
    <row r="184" spans="1:27" ht="33" customHeight="1" x14ac:dyDescent="0.3">
      <c r="A184" s="87" t="s">
        <v>121</v>
      </c>
      <c r="B184" s="11" t="s">
        <v>96</v>
      </c>
      <c r="C184" s="12" t="s">
        <v>164</v>
      </c>
      <c r="D184" s="15" t="s">
        <v>294</v>
      </c>
      <c r="E184" s="19">
        <f>E185</f>
        <v>2000000</v>
      </c>
      <c r="F184" s="19">
        <f>F185</f>
        <v>2000000</v>
      </c>
      <c r="G184" s="19">
        <f>G185</f>
        <v>0</v>
      </c>
      <c r="H184" s="28">
        <f t="shared" si="102"/>
        <v>0</v>
      </c>
      <c r="I184" s="19">
        <f>I185</f>
        <v>0</v>
      </c>
      <c r="J184" s="19">
        <f t="shared" si="103"/>
        <v>0</v>
      </c>
      <c r="K184" s="28">
        <f t="shared" si="75"/>
        <v>0</v>
      </c>
      <c r="L184" s="22">
        <f t="shared" ref="L184:L185" si="121">F184-J184</f>
        <v>2000000</v>
      </c>
      <c r="M184" s="32">
        <f t="shared" ref="M184:M185" si="122">L184/F184*100</f>
        <v>100</v>
      </c>
      <c r="N184" s="19">
        <f t="shared" si="106"/>
        <v>2000000</v>
      </c>
      <c r="O184" s="28">
        <f t="shared" si="107"/>
        <v>100</v>
      </c>
      <c r="Q184" s="47"/>
      <c r="R184" s="47"/>
      <c r="S184" s="47"/>
      <c r="T184" s="47"/>
      <c r="U184" s="56"/>
      <c r="V184" s="47"/>
      <c r="W184" s="47"/>
      <c r="X184" s="47"/>
      <c r="Y184" s="47"/>
      <c r="Z184" s="47"/>
      <c r="AA184" s="47"/>
    </row>
    <row r="185" spans="1:27" ht="33.75" customHeight="1" x14ac:dyDescent="0.3">
      <c r="A185" s="39" t="s">
        <v>411</v>
      </c>
      <c r="B185" s="40" t="s">
        <v>280</v>
      </c>
      <c r="C185" s="12"/>
      <c r="D185" s="15"/>
      <c r="E185" s="21">
        <v>2000000</v>
      </c>
      <c r="F185" s="92">
        <v>2000000</v>
      </c>
      <c r="G185" s="14">
        <v>0</v>
      </c>
      <c r="H185" s="30">
        <f t="shared" si="102"/>
        <v>0</v>
      </c>
      <c r="I185" s="14">
        <f>I186</f>
        <v>0</v>
      </c>
      <c r="J185" s="14">
        <f t="shared" si="103"/>
        <v>0</v>
      </c>
      <c r="K185" s="30">
        <f t="shared" si="75"/>
        <v>0</v>
      </c>
      <c r="L185" s="21">
        <f t="shared" si="121"/>
        <v>2000000</v>
      </c>
      <c r="M185" s="29">
        <f t="shared" si="122"/>
        <v>100</v>
      </c>
      <c r="N185" s="14">
        <f t="shared" si="106"/>
        <v>2000000</v>
      </c>
      <c r="O185" s="30">
        <f t="shared" si="107"/>
        <v>100</v>
      </c>
      <c r="Q185" s="47"/>
      <c r="R185" s="47"/>
      <c r="S185" s="47"/>
      <c r="T185" s="47"/>
      <c r="U185" s="56"/>
      <c r="V185" s="47"/>
      <c r="W185" s="47"/>
      <c r="X185" s="47"/>
      <c r="Y185" s="47"/>
      <c r="Z185" s="47"/>
      <c r="AA185" s="47"/>
    </row>
    <row r="186" spans="1:27" ht="18" customHeight="1" x14ac:dyDescent="0.3">
      <c r="A186" s="57"/>
      <c r="B186" s="40"/>
      <c r="C186" s="55"/>
      <c r="D186" s="62"/>
      <c r="E186" s="21"/>
      <c r="F186" s="21"/>
      <c r="G186" s="21"/>
      <c r="H186" s="29"/>
      <c r="I186" s="21"/>
      <c r="J186" s="21"/>
      <c r="K186" s="28"/>
      <c r="L186" s="21"/>
      <c r="M186" s="29"/>
      <c r="N186" s="21"/>
      <c r="O186" s="29"/>
      <c r="Q186" s="47"/>
      <c r="R186" s="47"/>
      <c r="S186" s="47"/>
      <c r="T186" s="47"/>
      <c r="U186" s="56"/>
      <c r="V186" s="47"/>
      <c r="W186" s="47"/>
      <c r="X186" s="47"/>
      <c r="Y186" s="47"/>
      <c r="Z186" s="47"/>
      <c r="AA186" s="47"/>
    </row>
    <row r="187" spans="1:27" ht="24.75" customHeight="1" x14ac:dyDescent="0.3">
      <c r="A187" s="87" t="s">
        <v>122</v>
      </c>
      <c r="B187" s="63" t="s">
        <v>79</v>
      </c>
      <c r="C187" s="12" t="s">
        <v>164</v>
      </c>
      <c r="D187" s="24" t="s">
        <v>15</v>
      </c>
      <c r="E187" s="20">
        <f t="shared" ref="E187:I187" si="123">E188</f>
        <v>7905570</v>
      </c>
      <c r="F187" s="20">
        <f t="shared" si="123"/>
        <v>1976300</v>
      </c>
      <c r="G187" s="20">
        <f t="shared" si="123"/>
        <v>0</v>
      </c>
      <c r="H187" s="28">
        <f t="shared" si="102"/>
        <v>0</v>
      </c>
      <c r="I187" s="20">
        <f t="shared" si="123"/>
        <v>1958500</v>
      </c>
      <c r="J187" s="19">
        <f t="shared" ref="J187:J188" si="124">G187+I187</f>
        <v>1958500</v>
      </c>
      <c r="K187" s="28">
        <f t="shared" si="75"/>
        <v>99.09932702524921</v>
      </c>
      <c r="L187" s="22">
        <f t="shared" ref="L187:L188" si="125">F187-J187</f>
        <v>17800</v>
      </c>
      <c r="M187" s="32">
        <f t="shared" ref="M187:M188" si="126">L187/F187*100</f>
        <v>0.900672974750797</v>
      </c>
      <c r="N187" s="19">
        <f t="shared" ref="N187:N188" si="127">E187-J187</f>
        <v>5947070</v>
      </c>
      <c r="O187" s="28">
        <f t="shared" ref="O187:O188" si="128">N187/E187*100</f>
        <v>75.226327766372307</v>
      </c>
      <c r="Q187" s="47"/>
      <c r="R187" s="47"/>
      <c r="S187" s="47"/>
      <c r="T187" s="47"/>
      <c r="U187" s="56"/>
      <c r="V187" s="47"/>
      <c r="W187" s="47"/>
      <c r="X187" s="47"/>
      <c r="Y187" s="47"/>
      <c r="Z187" s="47"/>
      <c r="AA187" s="47"/>
    </row>
    <row r="188" spans="1:27" ht="28.5" customHeight="1" x14ac:dyDescent="0.3">
      <c r="A188" s="39" t="s">
        <v>279</v>
      </c>
      <c r="B188" s="64" t="s">
        <v>280</v>
      </c>
      <c r="C188" s="11"/>
      <c r="D188" s="24"/>
      <c r="E188" s="65">
        <v>7905570</v>
      </c>
      <c r="F188" s="92">
        <v>1976300</v>
      </c>
      <c r="G188" s="65">
        <v>0</v>
      </c>
      <c r="H188" s="30">
        <f t="shared" si="102"/>
        <v>0</v>
      </c>
      <c r="I188" s="65">
        <f>1958500</f>
        <v>1958500</v>
      </c>
      <c r="J188" s="14">
        <f t="shared" si="124"/>
        <v>1958500</v>
      </c>
      <c r="K188" s="30">
        <f t="shared" si="75"/>
        <v>99.09932702524921</v>
      </c>
      <c r="L188" s="21">
        <f t="shared" si="125"/>
        <v>17800</v>
      </c>
      <c r="M188" s="29">
        <f t="shared" si="126"/>
        <v>0.900672974750797</v>
      </c>
      <c r="N188" s="14">
        <f t="shared" si="127"/>
        <v>5947070</v>
      </c>
      <c r="O188" s="30">
        <f t="shared" si="128"/>
        <v>75.226327766372307</v>
      </c>
      <c r="Q188" s="47"/>
      <c r="R188" s="47"/>
      <c r="S188" s="47"/>
      <c r="T188" s="47"/>
      <c r="U188" s="56"/>
      <c r="V188" s="47"/>
      <c r="W188" s="47"/>
      <c r="X188" s="47"/>
      <c r="Y188" s="47"/>
      <c r="Z188" s="47"/>
      <c r="AA188" s="47"/>
    </row>
    <row r="189" spans="1:27" ht="18" customHeight="1" x14ac:dyDescent="0.3">
      <c r="A189" s="57"/>
      <c r="B189" s="13"/>
      <c r="C189" s="54"/>
      <c r="D189" s="66"/>
      <c r="E189" s="14"/>
      <c r="F189" s="14"/>
      <c r="G189" s="65"/>
      <c r="H189" s="30"/>
      <c r="I189" s="65"/>
      <c r="J189" s="21"/>
      <c r="K189" s="30"/>
      <c r="L189" s="21"/>
      <c r="M189" s="29"/>
      <c r="N189" s="21"/>
      <c r="O189" s="29"/>
      <c r="Q189" s="47"/>
      <c r="R189" s="47"/>
      <c r="S189" s="47"/>
      <c r="T189" s="47"/>
      <c r="U189" s="56"/>
      <c r="V189" s="47"/>
      <c r="W189" s="47"/>
      <c r="X189" s="47"/>
      <c r="Y189" s="47"/>
      <c r="Z189" s="47"/>
      <c r="AA189" s="47"/>
    </row>
    <row r="190" spans="1:27" ht="31.2" customHeight="1" x14ac:dyDescent="0.3">
      <c r="A190" s="87" t="s">
        <v>123</v>
      </c>
      <c r="B190" s="11" t="s">
        <v>55</v>
      </c>
      <c r="C190" s="12" t="s">
        <v>164</v>
      </c>
      <c r="D190" s="15" t="s">
        <v>15</v>
      </c>
      <c r="E190" s="19">
        <f>SUM(E191:E194)</f>
        <v>171247000</v>
      </c>
      <c r="F190" s="19">
        <f>SUM(F191:F194)</f>
        <v>42664750</v>
      </c>
      <c r="G190" s="19">
        <f>SUM(G191:G194)</f>
        <v>0</v>
      </c>
      <c r="H190" s="28">
        <f t="shared" si="102"/>
        <v>0</v>
      </c>
      <c r="I190" s="19">
        <f>SUM(I191:I194)</f>
        <v>300000</v>
      </c>
      <c r="J190" s="19">
        <f t="shared" ref="J190" si="129">G190+I190</f>
        <v>300000</v>
      </c>
      <c r="K190" s="28">
        <f t="shared" ref="K190" si="130">J190/F190*100</f>
        <v>0.70315658711231177</v>
      </c>
      <c r="L190" s="22">
        <f t="shared" ref="L190:L194" si="131">F190-J190</f>
        <v>42364750</v>
      </c>
      <c r="M190" s="32">
        <f t="shared" ref="M190:M194" si="132">L190/F190*100</f>
        <v>99.296843412887696</v>
      </c>
      <c r="N190" s="19">
        <f t="shared" ref="N190" si="133">E190-J190</f>
        <v>170947000</v>
      </c>
      <c r="O190" s="28">
        <f t="shared" ref="O190" si="134">N190/E190*100</f>
        <v>99.824814449304228</v>
      </c>
      <c r="Q190" s="47"/>
      <c r="R190" s="47"/>
      <c r="S190" s="47"/>
      <c r="T190" s="47"/>
      <c r="U190" s="56"/>
      <c r="V190" s="47"/>
      <c r="W190" s="47"/>
      <c r="X190" s="47"/>
      <c r="Y190" s="47"/>
      <c r="Z190" s="47"/>
      <c r="AA190" s="47"/>
    </row>
    <row r="191" spans="1:27" ht="19.8" customHeight="1" x14ac:dyDescent="0.3">
      <c r="A191" s="39" t="s">
        <v>28</v>
      </c>
      <c r="B191" s="40" t="s">
        <v>29</v>
      </c>
      <c r="C191" s="55"/>
      <c r="D191" s="62"/>
      <c r="E191" s="21">
        <v>588000</v>
      </c>
      <c r="F191" s="21">
        <v>0</v>
      </c>
      <c r="G191" s="21">
        <v>0</v>
      </c>
      <c r="H191" s="29">
        <v>0</v>
      </c>
      <c r="I191" s="21">
        <v>0</v>
      </c>
      <c r="J191" s="21">
        <f t="shared" si="103"/>
        <v>0</v>
      </c>
      <c r="K191" s="29">
        <v>0</v>
      </c>
      <c r="L191" s="21">
        <f t="shared" si="131"/>
        <v>0</v>
      </c>
      <c r="M191" s="29">
        <v>0</v>
      </c>
      <c r="N191" s="21">
        <f t="shared" si="106"/>
        <v>588000</v>
      </c>
      <c r="O191" s="29">
        <f t="shared" si="107"/>
        <v>100</v>
      </c>
      <c r="Q191" s="47"/>
      <c r="R191" s="47"/>
      <c r="S191" s="47"/>
      <c r="T191" s="47"/>
      <c r="U191" s="56"/>
      <c r="V191" s="47"/>
      <c r="W191" s="47"/>
      <c r="X191" s="47"/>
      <c r="Y191" s="47"/>
      <c r="Z191" s="47"/>
      <c r="AA191" s="47"/>
    </row>
    <row r="192" spans="1:27" ht="21" customHeight="1" x14ac:dyDescent="0.3">
      <c r="A192" s="39" t="s">
        <v>311</v>
      </c>
      <c r="B192" s="40" t="s">
        <v>315</v>
      </c>
      <c r="C192" s="55"/>
      <c r="D192" s="62"/>
      <c r="E192" s="21">
        <v>6964000</v>
      </c>
      <c r="F192" s="93">
        <v>1741000</v>
      </c>
      <c r="G192" s="21">
        <v>0</v>
      </c>
      <c r="H192" s="29">
        <f t="shared" si="102"/>
        <v>0</v>
      </c>
      <c r="I192" s="21">
        <v>0</v>
      </c>
      <c r="J192" s="21">
        <f t="shared" si="103"/>
        <v>0</v>
      </c>
      <c r="K192" s="29">
        <f t="shared" si="75"/>
        <v>0</v>
      </c>
      <c r="L192" s="21">
        <f t="shared" si="131"/>
        <v>1741000</v>
      </c>
      <c r="M192" s="29">
        <f t="shared" si="132"/>
        <v>100</v>
      </c>
      <c r="N192" s="21">
        <f t="shared" si="106"/>
        <v>6964000</v>
      </c>
      <c r="O192" s="29">
        <f t="shared" si="107"/>
        <v>100</v>
      </c>
      <c r="Q192" s="47"/>
      <c r="R192" s="47"/>
      <c r="S192" s="47"/>
      <c r="T192" s="47"/>
      <c r="U192" s="56"/>
      <c r="V192" s="47"/>
      <c r="W192" s="47"/>
      <c r="X192" s="47"/>
      <c r="Y192" s="47"/>
      <c r="Z192" s="47"/>
      <c r="AA192" s="47"/>
    </row>
    <row r="193" spans="1:27" ht="22.8" customHeight="1" x14ac:dyDescent="0.3">
      <c r="A193" s="39" t="s">
        <v>31</v>
      </c>
      <c r="B193" s="40" t="s">
        <v>30</v>
      </c>
      <c r="C193" s="55"/>
      <c r="D193" s="62"/>
      <c r="E193" s="21">
        <v>158595000</v>
      </c>
      <c r="F193" s="93">
        <v>39648750</v>
      </c>
      <c r="G193" s="21">
        <v>0</v>
      </c>
      <c r="H193" s="29">
        <f t="shared" si="102"/>
        <v>0</v>
      </c>
      <c r="I193" s="21">
        <f>300000</f>
        <v>300000</v>
      </c>
      <c r="J193" s="21">
        <f t="shared" si="103"/>
        <v>300000</v>
      </c>
      <c r="K193" s="29">
        <f t="shared" si="75"/>
        <v>0.75664428260663952</v>
      </c>
      <c r="L193" s="21">
        <f t="shared" si="131"/>
        <v>39348750</v>
      </c>
      <c r="M193" s="29">
        <f t="shared" si="132"/>
        <v>99.243355717393356</v>
      </c>
      <c r="N193" s="21">
        <f t="shared" si="106"/>
        <v>158295000</v>
      </c>
      <c r="O193" s="29">
        <f t="shared" si="107"/>
        <v>99.81083892934835</v>
      </c>
      <c r="Q193" s="47"/>
      <c r="R193" s="47"/>
      <c r="S193" s="47"/>
      <c r="T193" s="47"/>
      <c r="U193" s="56"/>
      <c r="V193" s="47"/>
      <c r="W193" s="47"/>
      <c r="X193" s="47"/>
      <c r="Y193" s="47"/>
      <c r="Z193" s="47"/>
      <c r="AA193" s="47"/>
    </row>
    <row r="194" spans="1:27" ht="24.6" customHeight="1" x14ac:dyDescent="0.3">
      <c r="A194" s="39" t="s">
        <v>312</v>
      </c>
      <c r="B194" s="40" t="s">
        <v>313</v>
      </c>
      <c r="C194" s="40"/>
      <c r="D194" s="51"/>
      <c r="E194" s="21">
        <v>5100000</v>
      </c>
      <c r="F194" s="93">
        <v>1275000</v>
      </c>
      <c r="G194" s="21">
        <v>0</v>
      </c>
      <c r="H194" s="29">
        <f t="shared" si="102"/>
        <v>0</v>
      </c>
      <c r="I194" s="21">
        <v>0</v>
      </c>
      <c r="J194" s="21">
        <f t="shared" si="103"/>
        <v>0</v>
      </c>
      <c r="K194" s="29">
        <f t="shared" si="75"/>
        <v>0</v>
      </c>
      <c r="L194" s="21">
        <f t="shared" si="131"/>
        <v>1275000</v>
      </c>
      <c r="M194" s="29">
        <f t="shared" si="132"/>
        <v>100</v>
      </c>
      <c r="N194" s="21">
        <f t="shared" si="106"/>
        <v>5100000</v>
      </c>
      <c r="O194" s="29">
        <f t="shared" si="107"/>
        <v>100</v>
      </c>
      <c r="Q194" s="47"/>
      <c r="R194" s="47"/>
      <c r="S194" s="47"/>
      <c r="T194" s="47"/>
      <c r="U194" s="56"/>
      <c r="V194" s="47"/>
      <c r="W194" s="47"/>
      <c r="X194" s="47"/>
      <c r="Y194" s="47"/>
      <c r="Z194" s="47"/>
      <c r="AA194" s="47"/>
    </row>
    <row r="195" spans="1:27" ht="18" customHeight="1" x14ac:dyDescent="0.3">
      <c r="A195" s="57"/>
      <c r="B195" s="13"/>
      <c r="C195" s="12"/>
      <c r="D195" s="15"/>
      <c r="E195" s="14"/>
      <c r="F195" s="14"/>
      <c r="G195" s="14"/>
      <c r="H195" s="28"/>
      <c r="I195" s="14"/>
      <c r="J195" s="19"/>
      <c r="K195" s="28"/>
      <c r="L195" s="19"/>
      <c r="M195" s="28"/>
      <c r="N195" s="19"/>
      <c r="O195" s="28"/>
      <c r="P195" s="67"/>
      <c r="Q195" s="47"/>
      <c r="R195" s="47"/>
      <c r="S195" s="47"/>
      <c r="T195" s="47"/>
      <c r="U195" s="56"/>
      <c r="V195" s="47"/>
      <c r="W195" s="47"/>
      <c r="X195" s="47"/>
      <c r="Y195" s="47"/>
      <c r="Z195" s="47"/>
      <c r="AA195" s="47"/>
    </row>
    <row r="196" spans="1:27" ht="31.5" customHeight="1" x14ac:dyDescent="0.3">
      <c r="A196" s="87" t="s">
        <v>124</v>
      </c>
      <c r="B196" s="11" t="s">
        <v>56</v>
      </c>
      <c r="C196" s="12" t="s">
        <v>164</v>
      </c>
      <c r="D196" s="15" t="s">
        <v>15</v>
      </c>
      <c r="E196" s="19">
        <f>E197</f>
        <v>3720000</v>
      </c>
      <c r="F196" s="19">
        <f>F197</f>
        <v>1340000</v>
      </c>
      <c r="G196" s="19">
        <f>G197</f>
        <v>0</v>
      </c>
      <c r="H196" s="28">
        <f t="shared" si="102"/>
        <v>0</v>
      </c>
      <c r="I196" s="19">
        <f>I197</f>
        <v>1240000</v>
      </c>
      <c r="J196" s="19">
        <f t="shared" si="103"/>
        <v>1240000</v>
      </c>
      <c r="K196" s="28">
        <f t="shared" si="75"/>
        <v>92.537313432835816</v>
      </c>
      <c r="L196" s="22">
        <f t="shared" ref="L196:L197" si="135">F196-J196</f>
        <v>100000</v>
      </c>
      <c r="M196" s="32">
        <f t="shared" ref="M196:M197" si="136">L196/F196*100</f>
        <v>7.4626865671641784</v>
      </c>
      <c r="N196" s="19">
        <f t="shared" si="106"/>
        <v>2480000</v>
      </c>
      <c r="O196" s="28">
        <f t="shared" si="107"/>
        <v>66.666666666666657</v>
      </c>
      <c r="Q196" s="47"/>
      <c r="R196" s="47"/>
      <c r="S196" s="47"/>
      <c r="T196" s="47"/>
      <c r="U196" s="56"/>
      <c r="V196" s="47"/>
      <c r="W196" s="47"/>
      <c r="X196" s="47"/>
      <c r="Y196" s="47"/>
      <c r="Z196" s="47"/>
      <c r="AA196" s="47"/>
    </row>
    <row r="197" spans="1:27" ht="18" customHeight="1" x14ac:dyDescent="0.3">
      <c r="A197" s="39" t="s">
        <v>57</v>
      </c>
      <c r="B197" s="40" t="s">
        <v>58</v>
      </c>
      <c r="C197" s="12"/>
      <c r="D197" s="15"/>
      <c r="E197" s="21">
        <v>3720000</v>
      </c>
      <c r="F197" s="92">
        <v>1340000</v>
      </c>
      <c r="G197" s="21">
        <v>0</v>
      </c>
      <c r="H197" s="30">
        <f t="shared" si="102"/>
        <v>0</v>
      </c>
      <c r="I197" s="21">
        <f>1240000</f>
        <v>1240000</v>
      </c>
      <c r="J197" s="14">
        <f t="shared" si="103"/>
        <v>1240000</v>
      </c>
      <c r="K197" s="30">
        <f t="shared" si="75"/>
        <v>92.537313432835816</v>
      </c>
      <c r="L197" s="21">
        <f t="shared" si="135"/>
        <v>100000</v>
      </c>
      <c r="M197" s="29">
        <f t="shared" si="136"/>
        <v>7.4626865671641784</v>
      </c>
      <c r="N197" s="14">
        <f t="shared" si="106"/>
        <v>2480000</v>
      </c>
      <c r="O197" s="30">
        <f t="shared" si="107"/>
        <v>66.666666666666657</v>
      </c>
      <c r="Q197" s="47"/>
      <c r="R197" s="47"/>
      <c r="S197" s="47"/>
      <c r="T197" s="47"/>
      <c r="U197" s="56"/>
      <c r="V197" s="47"/>
      <c r="W197" s="47"/>
      <c r="X197" s="47"/>
      <c r="Y197" s="47"/>
      <c r="Z197" s="47"/>
      <c r="AA197" s="47"/>
    </row>
    <row r="198" spans="1:27" ht="18" customHeight="1" x14ac:dyDescent="0.3">
      <c r="A198" s="57"/>
      <c r="B198" s="13"/>
      <c r="C198" s="12"/>
      <c r="D198" s="15"/>
      <c r="E198" s="14"/>
      <c r="F198" s="14"/>
      <c r="G198" s="14"/>
      <c r="H198" s="28"/>
      <c r="I198" s="14"/>
      <c r="J198" s="19"/>
      <c r="K198" s="28"/>
      <c r="L198" s="19"/>
      <c r="M198" s="28"/>
      <c r="N198" s="19"/>
      <c r="O198" s="28"/>
      <c r="Q198" s="47"/>
      <c r="R198" s="47"/>
      <c r="S198" s="47"/>
      <c r="T198" s="47"/>
      <c r="U198" s="56"/>
      <c r="V198" s="47"/>
      <c r="W198" s="47"/>
      <c r="X198" s="47"/>
      <c r="Y198" s="47"/>
      <c r="Z198" s="47"/>
      <c r="AA198" s="47"/>
    </row>
    <row r="199" spans="1:27" ht="21.75" customHeight="1" x14ac:dyDescent="0.3">
      <c r="A199" s="87" t="s">
        <v>125</v>
      </c>
      <c r="B199" s="11" t="s">
        <v>59</v>
      </c>
      <c r="C199" s="12" t="s">
        <v>164</v>
      </c>
      <c r="D199" s="15" t="s">
        <v>15</v>
      </c>
      <c r="E199" s="19">
        <f>E200</f>
        <v>11250000</v>
      </c>
      <c r="F199" s="19">
        <f>F200</f>
        <v>2812500</v>
      </c>
      <c r="G199" s="19">
        <f>G200</f>
        <v>0</v>
      </c>
      <c r="H199" s="28">
        <f t="shared" si="102"/>
        <v>0</v>
      </c>
      <c r="I199" s="19">
        <f>I200</f>
        <v>2790000</v>
      </c>
      <c r="J199" s="19">
        <f t="shared" si="103"/>
        <v>2790000</v>
      </c>
      <c r="K199" s="28">
        <f t="shared" ref="K199:K289" si="137">J199/F199*100</f>
        <v>99.2</v>
      </c>
      <c r="L199" s="22">
        <f t="shared" ref="L199:L200" si="138">F199-J199</f>
        <v>22500</v>
      </c>
      <c r="M199" s="32">
        <f t="shared" ref="M199:M200" si="139">L199/F199*100</f>
        <v>0.8</v>
      </c>
      <c r="N199" s="19">
        <f t="shared" si="106"/>
        <v>8460000</v>
      </c>
      <c r="O199" s="28">
        <f t="shared" si="107"/>
        <v>75.2</v>
      </c>
      <c r="Q199" s="47"/>
      <c r="R199" s="47"/>
      <c r="S199" s="47"/>
      <c r="T199" s="47"/>
      <c r="U199" s="56"/>
      <c r="V199" s="47"/>
      <c r="W199" s="47"/>
      <c r="X199" s="47"/>
      <c r="Y199" s="47"/>
      <c r="Z199" s="47"/>
      <c r="AA199" s="47"/>
    </row>
    <row r="200" spans="1:27" ht="18" customHeight="1" x14ac:dyDescent="0.3">
      <c r="A200" s="39" t="s">
        <v>60</v>
      </c>
      <c r="B200" s="40" t="s">
        <v>61</v>
      </c>
      <c r="C200" s="55"/>
      <c r="D200" s="62"/>
      <c r="E200" s="21">
        <v>11250000</v>
      </c>
      <c r="F200" s="93">
        <v>2812500</v>
      </c>
      <c r="G200" s="21">
        <v>0</v>
      </c>
      <c r="H200" s="29">
        <f t="shared" si="102"/>
        <v>0</v>
      </c>
      <c r="I200" s="21">
        <f>2790000</f>
        <v>2790000</v>
      </c>
      <c r="J200" s="21">
        <f t="shared" si="103"/>
        <v>2790000</v>
      </c>
      <c r="K200" s="29">
        <f t="shared" si="137"/>
        <v>99.2</v>
      </c>
      <c r="L200" s="21">
        <f t="shared" si="138"/>
        <v>22500</v>
      </c>
      <c r="M200" s="29">
        <f t="shared" si="139"/>
        <v>0.8</v>
      </c>
      <c r="N200" s="21">
        <f t="shared" si="106"/>
        <v>8460000</v>
      </c>
      <c r="O200" s="29">
        <f t="shared" si="107"/>
        <v>75.2</v>
      </c>
      <c r="Q200" s="47"/>
      <c r="R200" s="47"/>
      <c r="S200" s="47"/>
      <c r="T200" s="47"/>
      <c r="U200" s="56"/>
      <c r="V200" s="47"/>
      <c r="W200" s="47"/>
      <c r="X200" s="47"/>
      <c r="Y200" s="47"/>
      <c r="Z200" s="47"/>
      <c r="AA200" s="47"/>
    </row>
    <row r="201" spans="1:27" ht="18" customHeight="1" x14ac:dyDescent="0.3">
      <c r="A201" s="57"/>
      <c r="B201" s="13"/>
      <c r="C201" s="12"/>
      <c r="D201" s="15"/>
      <c r="E201" s="14"/>
      <c r="F201" s="14"/>
      <c r="G201" s="14"/>
      <c r="H201" s="28"/>
      <c r="I201" s="14"/>
      <c r="J201" s="19"/>
      <c r="K201" s="28"/>
      <c r="L201" s="19"/>
      <c r="M201" s="28"/>
      <c r="N201" s="19"/>
      <c r="O201" s="28"/>
      <c r="Q201" s="47"/>
      <c r="R201" s="47"/>
      <c r="S201" s="47"/>
      <c r="T201" s="47"/>
      <c r="U201" s="56"/>
      <c r="V201" s="47"/>
      <c r="W201" s="47"/>
      <c r="X201" s="47"/>
      <c r="Y201" s="47"/>
      <c r="Z201" s="47"/>
      <c r="AA201" s="47"/>
    </row>
    <row r="202" spans="1:27" ht="33" customHeight="1" x14ac:dyDescent="0.3">
      <c r="A202" s="87" t="s">
        <v>126</v>
      </c>
      <c r="B202" s="11" t="s">
        <v>94</v>
      </c>
      <c r="C202" s="12" t="s">
        <v>164</v>
      </c>
      <c r="D202" s="15" t="s">
        <v>15</v>
      </c>
      <c r="E202" s="19">
        <f>E203+E204</f>
        <v>479185800</v>
      </c>
      <c r="F202" s="19">
        <f>F203+F204</f>
        <v>139555700</v>
      </c>
      <c r="G202" s="19">
        <f>G203+G204</f>
        <v>0</v>
      </c>
      <c r="H202" s="28">
        <f t="shared" si="102"/>
        <v>0</v>
      </c>
      <c r="I202" s="19">
        <f>I203+I204</f>
        <v>82751805</v>
      </c>
      <c r="J202" s="19">
        <f t="shared" si="103"/>
        <v>82751805</v>
      </c>
      <c r="K202" s="28">
        <f t="shared" si="137"/>
        <v>59.296614183440731</v>
      </c>
      <c r="L202" s="22">
        <f t="shared" ref="L202:L204" si="140">F202-J202</f>
        <v>56803895</v>
      </c>
      <c r="M202" s="32">
        <f t="shared" ref="M202:M204" si="141">L202/F202*100</f>
        <v>40.703385816559269</v>
      </c>
      <c r="N202" s="19">
        <f t="shared" si="106"/>
        <v>396433995</v>
      </c>
      <c r="O202" s="28">
        <f t="shared" si="107"/>
        <v>82.730747655710999</v>
      </c>
      <c r="Q202" s="47"/>
      <c r="R202" s="47"/>
      <c r="S202" s="47"/>
      <c r="T202" s="47"/>
      <c r="U202" s="56"/>
      <c r="V202" s="47"/>
      <c r="W202" s="47"/>
      <c r="X202" s="47"/>
      <c r="Y202" s="47"/>
      <c r="Z202" s="47"/>
      <c r="AA202" s="47"/>
    </row>
    <row r="203" spans="1:27" ht="18" customHeight="1" x14ac:dyDescent="0.3">
      <c r="A203" s="39" t="s">
        <v>62</v>
      </c>
      <c r="B203" s="40" t="s">
        <v>80</v>
      </c>
      <c r="C203" s="12"/>
      <c r="D203" s="15"/>
      <c r="E203" s="21">
        <v>18000000</v>
      </c>
      <c r="F203" s="92">
        <v>3000000</v>
      </c>
      <c r="G203" s="21">
        <v>0</v>
      </c>
      <c r="H203" s="30">
        <f t="shared" si="102"/>
        <v>0</v>
      </c>
      <c r="I203" s="21">
        <f>3000000</f>
        <v>3000000</v>
      </c>
      <c r="J203" s="14">
        <f t="shared" si="103"/>
        <v>3000000</v>
      </c>
      <c r="K203" s="30">
        <f t="shared" si="137"/>
        <v>100</v>
      </c>
      <c r="L203" s="21">
        <f t="shared" si="140"/>
        <v>0</v>
      </c>
      <c r="M203" s="29">
        <f t="shared" si="141"/>
        <v>0</v>
      </c>
      <c r="N203" s="14">
        <f t="shared" si="106"/>
        <v>15000000</v>
      </c>
      <c r="O203" s="30">
        <f t="shared" si="107"/>
        <v>83.333333333333343</v>
      </c>
      <c r="Q203" s="47"/>
      <c r="R203" s="47"/>
      <c r="S203" s="47"/>
      <c r="T203" s="47"/>
      <c r="U203" s="56"/>
      <c r="V203" s="47"/>
      <c r="W203" s="47"/>
      <c r="X203" s="47"/>
      <c r="Y203" s="47"/>
      <c r="Z203" s="47"/>
      <c r="AA203" s="47"/>
    </row>
    <row r="204" spans="1:27" ht="18" customHeight="1" x14ac:dyDescent="0.3">
      <c r="A204" s="39" t="s">
        <v>52</v>
      </c>
      <c r="B204" s="40" t="s">
        <v>63</v>
      </c>
      <c r="C204" s="12"/>
      <c r="D204" s="15"/>
      <c r="E204" s="21">
        <f>SUM(E205:E207)</f>
        <v>461185800</v>
      </c>
      <c r="F204" s="92">
        <v>136555700</v>
      </c>
      <c r="G204" s="21">
        <f>SUM(G205:G207)</f>
        <v>0</v>
      </c>
      <c r="H204" s="30">
        <f t="shared" si="102"/>
        <v>0</v>
      </c>
      <c r="I204" s="21">
        <f>SUM(I205:I207)</f>
        <v>79751805</v>
      </c>
      <c r="J204" s="14">
        <f>G204+I204</f>
        <v>79751805</v>
      </c>
      <c r="K204" s="30">
        <f t="shared" si="137"/>
        <v>58.402399167519192</v>
      </c>
      <c r="L204" s="21">
        <f t="shared" si="140"/>
        <v>56803895</v>
      </c>
      <c r="M204" s="29">
        <f t="shared" si="141"/>
        <v>41.597600832480815</v>
      </c>
      <c r="N204" s="14">
        <f t="shared" si="106"/>
        <v>381433995</v>
      </c>
      <c r="O204" s="30">
        <f t="shared" si="107"/>
        <v>82.707228843559363</v>
      </c>
      <c r="Q204" s="47"/>
      <c r="R204" s="47"/>
      <c r="S204" s="47"/>
      <c r="T204" s="47"/>
      <c r="U204" s="56"/>
      <c r="V204" s="47"/>
      <c r="W204" s="47"/>
      <c r="X204" s="47"/>
      <c r="Y204" s="47"/>
      <c r="Z204" s="47"/>
      <c r="AA204" s="47"/>
    </row>
    <row r="205" spans="1:27" ht="18" customHeight="1" x14ac:dyDescent="0.3">
      <c r="A205" s="39"/>
      <c r="B205" s="40" t="s">
        <v>326</v>
      </c>
      <c r="C205" s="12"/>
      <c r="D205" s="15"/>
      <c r="E205" s="21">
        <v>25755800</v>
      </c>
      <c r="F205" s="92"/>
      <c r="G205" s="21">
        <v>0</v>
      </c>
      <c r="H205" s="30"/>
      <c r="I205" s="21">
        <f>4629800</f>
        <v>4629800</v>
      </c>
      <c r="J205" s="14">
        <f t="shared" ref="J205:J207" si="142">G205+I205</f>
        <v>4629800</v>
      </c>
      <c r="K205" s="30"/>
      <c r="L205" s="21"/>
      <c r="M205" s="29"/>
      <c r="N205" s="14">
        <f t="shared" si="106"/>
        <v>21126000</v>
      </c>
      <c r="O205" s="30">
        <f t="shared" si="107"/>
        <v>82.024243083111386</v>
      </c>
      <c r="Q205" s="47"/>
      <c r="R205" s="47"/>
      <c r="S205" s="47"/>
      <c r="T205" s="47"/>
      <c r="U205" s="56"/>
      <c r="V205" s="47"/>
      <c r="W205" s="47"/>
      <c r="X205" s="47"/>
      <c r="Y205" s="47"/>
      <c r="Z205" s="47"/>
      <c r="AA205" s="47"/>
    </row>
    <row r="206" spans="1:27" ht="18" customHeight="1" x14ac:dyDescent="0.3">
      <c r="A206" s="39"/>
      <c r="B206" s="40" t="s">
        <v>163</v>
      </c>
      <c r="C206" s="12"/>
      <c r="D206" s="15"/>
      <c r="E206" s="21">
        <v>281000000</v>
      </c>
      <c r="F206" s="92"/>
      <c r="G206" s="21">
        <v>0</v>
      </c>
      <c r="H206" s="30"/>
      <c r="I206" s="21">
        <f>20009500+27650000+16397500</f>
        <v>64057000</v>
      </c>
      <c r="J206" s="14">
        <f t="shared" si="142"/>
        <v>64057000</v>
      </c>
      <c r="K206" s="30"/>
      <c r="L206" s="21"/>
      <c r="M206" s="29"/>
      <c r="N206" s="14">
        <f t="shared" si="106"/>
        <v>216943000</v>
      </c>
      <c r="O206" s="30">
        <f t="shared" si="107"/>
        <v>77.203914590747331</v>
      </c>
      <c r="Q206" s="47"/>
      <c r="R206" s="47"/>
      <c r="S206" s="47"/>
      <c r="T206" s="47"/>
      <c r="U206" s="56"/>
      <c r="V206" s="47"/>
      <c r="W206" s="47"/>
      <c r="X206" s="47"/>
      <c r="Y206" s="47"/>
      <c r="Z206" s="47"/>
      <c r="AA206" s="47"/>
    </row>
    <row r="207" spans="1:27" ht="18" customHeight="1" x14ac:dyDescent="0.3">
      <c r="A207" s="39"/>
      <c r="B207" s="40" t="s">
        <v>327</v>
      </c>
      <c r="C207" s="12"/>
      <c r="D207" s="15"/>
      <c r="E207" s="21">
        <v>154430000</v>
      </c>
      <c r="F207" s="92"/>
      <c r="G207" s="21">
        <v>0</v>
      </c>
      <c r="H207" s="30"/>
      <c r="I207" s="21">
        <f>11065005</f>
        <v>11065005</v>
      </c>
      <c r="J207" s="14">
        <f t="shared" si="142"/>
        <v>11065005</v>
      </c>
      <c r="K207" s="30"/>
      <c r="L207" s="21"/>
      <c r="M207" s="29"/>
      <c r="N207" s="14">
        <f t="shared" si="106"/>
        <v>143364995</v>
      </c>
      <c r="O207" s="30">
        <f t="shared" si="107"/>
        <v>92.834938159684</v>
      </c>
      <c r="Q207" s="47"/>
      <c r="R207" s="47"/>
      <c r="S207" s="47"/>
      <c r="T207" s="47"/>
      <c r="U207" s="56"/>
      <c r="V207" s="47"/>
      <c r="W207" s="47"/>
      <c r="X207" s="47"/>
      <c r="Y207" s="47"/>
      <c r="Z207" s="47"/>
      <c r="AA207" s="47"/>
    </row>
    <row r="208" spans="1:27" ht="18" customHeight="1" x14ac:dyDescent="0.3">
      <c r="A208" s="57"/>
      <c r="B208" s="13"/>
      <c r="C208" s="40"/>
      <c r="D208" s="51"/>
      <c r="E208" s="14"/>
      <c r="F208" s="14"/>
      <c r="G208" s="21"/>
      <c r="H208" s="30"/>
      <c r="I208" s="21"/>
      <c r="J208" s="21"/>
      <c r="K208" s="30"/>
      <c r="L208" s="21"/>
      <c r="M208" s="29"/>
      <c r="N208" s="21"/>
      <c r="O208" s="29"/>
      <c r="Q208" s="47"/>
      <c r="R208" s="47"/>
      <c r="S208" s="47"/>
      <c r="T208" s="47"/>
      <c r="U208" s="56"/>
      <c r="V208" s="47"/>
      <c r="W208" s="47"/>
      <c r="X208" s="47"/>
      <c r="Y208" s="47"/>
      <c r="Z208" s="47"/>
      <c r="AA208" s="47"/>
    </row>
    <row r="209" spans="1:27" ht="35.4" customHeight="1" x14ac:dyDescent="0.3">
      <c r="A209" s="86" t="s">
        <v>127</v>
      </c>
      <c r="B209" s="10" t="s">
        <v>64</v>
      </c>
      <c r="C209" s="68"/>
      <c r="D209" s="69"/>
      <c r="E209" s="16">
        <f>E210+E216+E239</f>
        <v>1345170000</v>
      </c>
      <c r="F209" s="16">
        <f>F210+F216+F239</f>
        <v>261870000</v>
      </c>
      <c r="G209" s="16">
        <f>G210+G216+G239</f>
        <v>0</v>
      </c>
      <c r="H209" s="27">
        <f t="shared" si="102"/>
        <v>0</v>
      </c>
      <c r="I209" s="16">
        <f>I210+I216+I239</f>
        <v>0</v>
      </c>
      <c r="J209" s="37">
        <f>G209+I209</f>
        <v>0</v>
      </c>
      <c r="K209" s="27">
        <f>J209/F209*100</f>
        <v>0</v>
      </c>
      <c r="L209" s="37">
        <f>F209-J209</f>
        <v>261870000</v>
      </c>
      <c r="M209" s="41">
        <f>L209/F209*100</f>
        <v>100</v>
      </c>
      <c r="N209" s="37">
        <f t="shared" si="106"/>
        <v>1345170000</v>
      </c>
      <c r="O209" s="41">
        <f t="shared" si="107"/>
        <v>100</v>
      </c>
      <c r="P209" s="80"/>
      <c r="Q209" s="47"/>
      <c r="R209" s="47"/>
      <c r="S209" s="47"/>
      <c r="T209" s="47"/>
      <c r="U209" s="56"/>
      <c r="V209" s="47"/>
      <c r="W209" s="47"/>
      <c r="X209" s="47"/>
      <c r="Y209" s="47"/>
      <c r="Z209" s="47"/>
      <c r="AA209" s="47"/>
    </row>
    <row r="210" spans="1:27" ht="32.4" customHeight="1" x14ac:dyDescent="0.3">
      <c r="A210" s="87" t="s">
        <v>128</v>
      </c>
      <c r="B210" s="11" t="s">
        <v>65</v>
      </c>
      <c r="C210" s="12" t="s">
        <v>293</v>
      </c>
      <c r="D210" s="15" t="s">
        <v>329</v>
      </c>
      <c r="E210" s="19">
        <f t="shared" ref="E210:G211" si="143">E211</f>
        <v>26550000</v>
      </c>
      <c r="F210" s="19">
        <f t="shared" si="143"/>
        <v>26550000</v>
      </c>
      <c r="G210" s="19">
        <f t="shared" si="143"/>
        <v>0</v>
      </c>
      <c r="H210" s="28">
        <f t="shared" si="102"/>
        <v>0</v>
      </c>
      <c r="I210" s="19">
        <f>I211</f>
        <v>0</v>
      </c>
      <c r="J210" s="22">
        <f t="shared" si="103"/>
        <v>0</v>
      </c>
      <c r="K210" s="28">
        <f t="shared" ref="K210:K212" si="144">J210/F210*100</f>
        <v>0</v>
      </c>
      <c r="L210" s="22">
        <f t="shared" ref="L210:L212" si="145">F210-J210</f>
        <v>26550000</v>
      </c>
      <c r="M210" s="32">
        <f t="shared" ref="M210:M212" si="146">L210/F210*100</f>
        <v>100</v>
      </c>
      <c r="N210" s="19">
        <f t="shared" si="106"/>
        <v>26550000</v>
      </c>
      <c r="O210" s="28">
        <f t="shared" si="107"/>
        <v>100</v>
      </c>
      <c r="Q210" s="47"/>
      <c r="R210" s="47"/>
      <c r="S210" s="47"/>
      <c r="T210" s="47"/>
      <c r="U210" s="56"/>
      <c r="V210" s="47"/>
      <c r="W210" s="47"/>
      <c r="X210" s="47"/>
      <c r="Y210" s="47"/>
      <c r="Z210" s="47"/>
      <c r="AA210" s="47"/>
    </row>
    <row r="211" spans="1:27" ht="18" customHeight="1" x14ac:dyDescent="0.3">
      <c r="A211" s="70" t="s">
        <v>319</v>
      </c>
      <c r="B211" s="12" t="s">
        <v>320</v>
      </c>
      <c r="C211" s="12"/>
      <c r="D211" s="15"/>
      <c r="E211" s="19">
        <f>SUM(E212:E214)</f>
        <v>26550000</v>
      </c>
      <c r="F211" s="19">
        <f>SUM(F212:F214)</f>
        <v>26550000</v>
      </c>
      <c r="G211" s="19">
        <f t="shared" si="143"/>
        <v>0</v>
      </c>
      <c r="H211" s="28">
        <f t="shared" si="102"/>
        <v>0</v>
      </c>
      <c r="I211" s="19">
        <f>I212</f>
        <v>0</v>
      </c>
      <c r="J211" s="22">
        <f t="shared" si="103"/>
        <v>0</v>
      </c>
      <c r="K211" s="28">
        <f t="shared" si="144"/>
        <v>0</v>
      </c>
      <c r="L211" s="22">
        <f t="shared" si="145"/>
        <v>26550000</v>
      </c>
      <c r="M211" s="32">
        <f t="shared" si="146"/>
        <v>100</v>
      </c>
      <c r="N211" s="19">
        <f t="shared" si="106"/>
        <v>26550000</v>
      </c>
      <c r="O211" s="28">
        <f t="shared" si="107"/>
        <v>100</v>
      </c>
      <c r="Q211" s="47"/>
      <c r="R211" s="47"/>
      <c r="S211" s="47"/>
      <c r="T211" s="47"/>
      <c r="U211" s="56"/>
      <c r="V211" s="47"/>
      <c r="W211" s="47"/>
      <c r="X211" s="47"/>
      <c r="Y211" s="47"/>
      <c r="Z211" s="47"/>
      <c r="AA211" s="47"/>
    </row>
    <row r="212" spans="1:27" ht="18" customHeight="1" x14ac:dyDescent="0.3">
      <c r="A212" s="70"/>
      <c r="B212" s="40" t="s">
        <v>412</v>
      </c>
      <c r="C212" s="55"/>
      <c r="D212" s="62"/>
      <c r="E212" s="21">
        <v>5550000</v>
      </c>
      <c r="F212" s="21">
        <v>5550000</v>
      </c>
      <c r="G212" s="21">
        <v>0</v>
      </c>
      <c r="H212" s="30">
        <f t="shared" si="102"/>
        <v>0</v>
      </c>
      <c r="I212" s="21">
        <v>0</v>
      </c>
      <c r="J212" s="21">
        <f t="shared" si="103"/>
        <v>0</v>
      </c>
      <c r="K212" s="30">
        <f t="shared" si="144"/>
        <v>0</v>
      </c>
      <c r="L212" s="21">
        <f t="shared" si="145"/>
        <v>5550000</v>
      </c>
      <c r="M212" s="29">
        <f t="shared" si="146"/>
        <v>100</v>
      </c>
      <c r="N212" s="21">
        <f t="shared" si="106"/>
        <v>5550000</v>
      </c>
      <c r="O212" s="29">
        <f t="shared" si="107"/>
        <v>100</v>
      </c>
      <c r="Q212" s="47"/>
      <c r="R212" s="47"/>
      <c r="S212" s="47"/>
      <c r="T212" s="47"/>
      <c r="U212" s="56"/>
      <c r="V212" s="47"/>
      <c r="W212" s="47"/>
      <c r="X212" s="47"/>
      <c r="Y212" s="47"/>
      <c r="Z212" s="47"/>
      <c r="AA212" s="47"/>
    </row>
    <row r="213" spans="1:27" ht="18" customHeight="1" x14ac:dyDescent="0.3">
      <c r="A213" s="70"/>
      <c r="B213" s="40" t="s">
        <v>413</v>
      </c>
      <c r="C213" s="55"/>
      <c r="D213" s="62"/>
      <c r="E213" s="21">
        <v>15000000</v>
      </c>
      <c r="F213" s="21">
        <v>15000000</v>
      </c>
      <c r="G213" s="21">
        <v>0</v>
      </c>
      <c r="H213" s="30">
        <f t="shared" ref="H213:H214" si="147">G213/F213*100</f>
        <v>0</v>
      </c>
      <c r="I213" s="21">
        <v>0</v>
      </c>
      <c r="J213" s="21">
        <f t="shared" ref="J213:J214" si="148">G213+I213</f>
        <v>0</v>
      </c>
      <c r="K213" s="30">
        <f t="shared" ref="K213:K214" si="149">J213/F213*100</f>
        <v>0</v>
      </c>
      <c r="L213" s="21">
        <f t="shared" ref="L213:L214" si="150">F213-J213</f>
        <v>15000000</v>
      </c>
      <c r="M213" s="29">
        <f t="shared" ref="M213:M214" si="151">L213/F213*100</f>
        <v>100</v>
      </c>
      <c r="N213" s="21">
        <f t="shared" ref="N213:N214" si="152">E213-J213</f>
        <v>15000000</v>
      </c>
      <c r="O213" s="29">
        <f t="shared" ref="O213:O214" si="153">N213/E213*100</f>
        <v>100</v>
      </c>
      <c r="Q213" s="47"/>
      <c r="R213" s="47"/>
      <c r="S213" s="47"/>
      <c r="T213" s="47"/>
      <c r="U213" s="56"/>
      <c r="V213" s="47"/>
      <c r="W213" s="47"/>
      <c r="X213" s="47"/>
      <c r="Y213" s="47"/>
      <c r="Z213" s="47"/>
      <c r="AA213" s="47"/>
    </row>
    <row r="214" spans="1:27" ht="18" customHeight="1" x14ac:dyDescent="0.3">
      <c r="A214" s="70"/>
      <c r="B214" s="40" t="s">
        <v>414</v>
      </c>
      <c r="C214" s="55"/>
      <c r="D214" s="62"/>
      <c r="E214" s="21">
        <v>6000000</v>
      </c>
      <c r="F214" s="21">
        <v>6000000</v>
      </c>
      <c r="G214" s="21">
        <v>0</v>
      </c>
      <c r="H214" s="30">
        <f t="shared" si="147"/>
        <v>0</v>
      </c>
      <c r="I214" s="21">
        <v>0</v>
      </c>
      <c r="J214" s="21">
        <f t="shared" si="148"/>
        <v>0</v>
      </c>
      <c r="K214" s="30">
        <f t="shared" si="149"/>
        <v>0</v>
      </c>
      <c r="L214" s="21">
        <f t="shared" si="150"/>
        <v>6000000</v>
      </c>
      <c r="M214" s="29">
        <f t="shared" si="151"/>
        <v>100</v>
      </c>
      <c r="N214" s="21">
        <f t="shared" si="152"/>
        <v>6000000</v>
      </c>
      <c r="O214" s="29">
        <f t="shared" si="153"/>
        <v>100</v>
      </c>
      <c r="Q214" s="47"/>
      <c r="R214" s="47"/>
      <c r="S214" s="47"/>
      <c r="T214" s="47"/>
      <c r="U214" s="56"/>
      <c r="V214" s="47"/>
      <c r="W214" s="47"/>
      <c r="X214" s="47"/>
      <c r="Y214" s="47"/>
      <c r="Z214" s="47"/>
      <c r="AA214" s="47"/>
    </row>
    <row r="215" spans="1:27" ht="20.399999999999999" customHeight="1" x14ac:dyDescent="0.3">
      <c r="A215" s="57"/>
      <c r="B215" s="40"/>
      <c r="C215" s="12"/>
      <c r="D215" s="15"/>
      <c r="E215" s="21"/>
      <c r="F215" s="21"/>
      <c r="G215" s="19"/>
      <c r="H215" s="28"/>
      <c r="I215" s="19"/>
      <c r="J215" s="19"/>
      <c r="K215" s="28"/>
      <c r="L215" s="19"/>
      <c r="M215" s="28"/>
      <c r="N215" s="19"/>
      <c r="O215" s="28"/>
      <c r="Q215" s="47"/>
      <c r="R215" s="47"/>
      <c r="S215" s="47"/>
      <c r="T215" s="47"/>
      <c r="U215" s="56"/>
      <c r="V215" s="47"/>
      <c r="W215" s="47"/>
      <c r="X215" s="47"/>
      <c r="Y215" s="47"/>
      <c r="Z215" s="47"/>
      <c r="AA215" s="47"/>
    </row>
    <row r="216" spans="1:27" ht="39.6" customHeight="1" x14ac:dyDescent="0.3">
      <c r="A216" s="87" t="s">
        <v>130</v>
      </c>
      <c r="B216" s="11" t="s">
        <v>129</v>
      </c>
      <c r="C216" s="12" t="s">
        <v>293</v>
      </c>
      <c r="D216" s="15" t="s">
        <v>328</v>
      </c>
      <c r="E216" s="19">
        <f>E217+E220+E222+E228+E233+E236</f>
        <v>454620000</v>
      </c>
      <c r="F216" s="19">
        <f>F217+F220+F222+F228+F233+F236</f>
        <v>211320000</v>
      </c>
      <c r="G216" s="19">
        <f>G217+G222+G228</f>
        <v>0</v>
      </c>
      <c r="H216" s="28">
        <f t="shared" si="102"/>
        <v>0</v>
      </c>
      <c r="I216" s="19">
        <f>I217+I222+I228</f>
        <v>0</v>
      </c>
      <c r="J216" s="19">
        <f>G216+I216</f>
        <v>0</v>
      </c>
      <c r="K216" s="28">
        <f>J216/F216*100</f>
        <v>0</v>
      </c>
      <c r="L216" s="22">
        <f t="shared" ref="L216:L240" si="154">F216-J216</f>
        <v>211320000</v>
      </c>
      <c r="M216" s="32">
        <f t="shared" ref="M216:M248" si="155">L216/F216*100</f>
        <v>100</v>
      </c>
      <c r="N216" s="19">
        <f t="shared" si="106"/>
        <v>454620000</v>
      </c>
      <c r="O216" s="28">
        <f t="shared" si="107"/>
        <v>100</v>
      </c>
      <c r="Q216" s="47"/>
      <c r="R216" s="47"/>
      <c r="S216" s="47"/>
      <c r="T216" s="47"/>
      <c r="U216" s="56"/>
      <c r="V216" s="47"/>
      <c r="W216" s="47"/>
      <c r="X216" s="47"/>
      <c r="Y216" s="47"/>
      <c r="Z216" s="47"/>
      <c r="AA216" s="47"/>
    </row>
    <row r="217" spans="1:27" ht="18" customHeight="1" x14ac:dyDescent="0.3">
      <c r="A217" s="39" t="s">
        <v>415</v>
      </c>
      <c r="B217" s="55" t="s">
        <v>416</v>
      </c>
      <c r="C217" s="12"/>
      <c r="D217" s="15"/>
      <c r="E217" s="22">
        <f>SUM(E218:E219)</f>
        <v>175950000</v>
      </c>
      <c r="F217" s="22">
        <f>SUM(F218:F219)</f>
        <v>0</v>
      </c>
      <c r="G217" s="22">
        <f>SUM(G218:G219)</f>
        <v>0</v>
      </c>
      <c r="H217" s="28">
        <v>0</v>
      </c>
      <c r="I217" s="22">
        <f>SUM(I218:I219)</f>
        <v>0</v>
      </c>
      <c r="J217" s="19">
        <f t="shared" si="103"/>
        <v>0</v>
      </c>
      <c r="K217" s="28">
        <v>0</v>
      </c>
      <c r="L217" s="22">
        <f t="shared" si="154"/>
        <v>0</v>
      </c>
      <c r="M217" s="32">
        <v>0</v>
      </c>
      <c r="N217" s="19">
        <f t="shared" si="106"/>
        <v>175950000</v>
      </c>
      <c r="O217" s="28">
        <f t="shared" si="107"/>
        <v>100</v>
      </c>
      <c r="Q217" s="47"/>
      <c r="R217" s="47"/>
      <c r="S217" s="47"/>
      <c r="T217" s="47"/>
      <c r="U217" s="56"/>
      <c r="V217" s="47"/>
      <c r="W217" s="47"/>
      <c r="X217" s="47"/>
      <c r="Y217" s="47"/>
      <c r="Z217" s="47"/>
      <c r="AA217" s="47"/>
    </row>
    <row r="218" spans="1:27" ht="18" customHeight="1" x14ac:dyDescent="0.3">
      <c r="A218" s="39"/>
      <c r="B218" s="40" t="s">
        <v>417</v>
      </c>
      <c r="C218" s="12"/>
      <c r="D218" s="15"/>
      <c r="E218" s="21">
        <v>3450000</v>
      </c>
      <c r="F218" s="21">
        <v>0</v>
      </c>
      <c r="G218" s="21">
        <v>0</v>
      </c>
      <c r="H218" s="30">
        <v>0</v>
      </c>
      <c r="I218" s="21">
        <v>0</v>
      </c>
      <c r="J218" s="14">
        <f t="shared" si="103"/>
        <v>0</v>
      </c>
      <c r="K218" s="30">
        <v>0</v>
      </c>
      <c r="L218" s="21">
        <f t="shared" si="154"/>
        <v>0</v>
      </c>
      <c r="M218" s="29">
        <v>0</v>
      </c>
      <c r="N218" s="14">
        <f t="shared" si="106"/>
        <v>3450000</v>
      </c>
      <c r="O218" s="30">
        <f t="shared" si="107"/>
        <v>100</v>
      </c>
      <c r="Q218" s="47"/>
      <c r="R218" s="47"/>
      <c r="S218" s="47"/>
      <c r="T218" s="47"/>
      <c r="U218" s="56"/>
      <c r="V218" s="47"/>
      <c r="W218" s="47"/>
      <c r="X218" s="47"/>
      <c r="Y218" s="47"/>
      <c r="Z218" s="47"/>
      <c r="AA218" s="47"/>
    </row>
    <row r="219" spans="1:27" ht="18" customHeight="1" x14ac:dyDescent="0.3">
      <c r="A219" s="39"/>
      <c r="B219" s="40" t="s">
        <v>418</v>
      </c>
      <c r="C219" s="12"/>
      <c r="D219" s="15"/>
      <c r="E219" s="21">
        <v>172500000</v>
      </c>
      <c r="F219" s="21">
        <v>0</v>
      </c>
      <c r="G219" s="21">
        <v>0</v>
      </c>
      <c r="H219" s="30">
        <v>0</v>
      </c>
      <c r="I219" s="21">
        <v>0</v>
      </c>
      <c r="J219" s="14">
        <f>G219+I219</f>
        <v>0</v>
      </c>
      <c r="K219" s="30">
        <v>0</v>
      </c>
      <c r="L219" s="21">
        <f t="shared" si="154"/>
        <v>0</v>
      </c>
      <c r="M219" s="29">
        <v>0</v>
      </c>
      <c r="N219" s="14">
        <f t="shared" si="106"/>
        <v>172500000</v>
      </c>
      <c r="O219" s="30">
        <f t="shared" si="107"/>
        <v>100</v>
      </c>
      <c r="Q219" s="47"/>
      <c r="R219" s="47"/>
      <c r="S219" s="47"/>
      <c r="T219" s="47"/>
      <c r="U219" s="56"/>
      <c r="V219" s="47"/>
      <c r="W219" s="47"/>
      <c r="X219" s="47"/>
      <c r="Y219" s="47"/>
      <c r="Z219" s="47"/>
      <c r="AA219" s="47"/>
    </row>
    <row r="220" spans="1:27" ht="18" customHeight="1" x14ac:dyDescent="0.3">
      <c r="A220" s="39" t="s">
        <v>419</v>
      </c>
      <c r="B220" s="55" t="s">
        <v>420</v>
      </c>
      <c r="C220" s="12"/>
      <c r="D220" s="15"/>
      <c r="E220" s="22">
        <f>E221</f>
        <v>6000000</v>
      </c>
      <c r="F220" s="22">
        <f>F221</f>
        <v>6000000</v>
      </c>
      <c r="G220" s="21">
        <v>0</v>
      </c>
      <c r="H220" s="30">
        <v>0</v>
      </c>
      <c r="I220" s="21">
        <v>0</v>
      </c>
      <c r="J220" s="14">
        <f t="shared" ref="J220:J221" si="156">G220+I220</f>
        <v>0</v>
      </c>
      <c r="K220" s="30">
        <v>0</v>
      </c>
      <c r="L220" s="21">
        <f t="shared" ref="L220:L221" si="157">F220-J220</f>
        <v>6000000</v>
      </c>
      <c r="M220" s="29">
        <f t="shared" si="155"/>
        <v>100</v>
      </c>
      <c r="N220" s="14">
        <f t="shared" ref="N220:N221" si="158">E220-J220</f>
        <v>6000000</v>
      </c>
      <c r="O220" s="30">
        <f t="shared" ref="O220:O221" si="159">N220/E220*100</f>
        <v>100</v>
      </c>
      <c r="Q220" s="47"/>
      <c r="R220" s="47"/>
      <c r="S220" s="47"/>
      <c r="T220" s="47"/>
      <c r="U220" s="56"/>
      <c r="V220" s="47"/>
      <c r="W220" s="47"/>
      <c r="X220" s="47"/>
      <c r="Y220" s="47"/>
      <c r="Z220" s="47"/>
      <c r="AA220" s="47"/>
    </row>
    <row r="221" spans="1:27" ht="18" customHeight="1" x14ac:dyDescent="0.3">
      <c r="A221" s="39"/>
      <c r="B221" s="40" t="s">
        <v>421</v>
      </c>
      <c r="C221" s="12"/>
      <c r="D221" s="15"/>
      <c r="E221" s="21">
        <v>6000000</v>
      </c>
      <c r="F221" s="21">
        <v>6000000</v>
      </c>
      <c r="G221" s="21">
        <v>0</v>
      </c>
      <c r="H221" s="30">
        <v>0</v>
      </c>
      <c r="I221" s="21">
        <v>0</v>
      </c>
      <c r="J221" s="14">
        <f t="shared" si="156"/>
        <v>0</v>
      </c>
      <c r="K221" s="30">
        <v>0</v>
      </c>
      <c r="L221" s="21">
        <f t="shared" si="157"/>
        <v>6000000</v>
      </c>
      <c r="M221" s="29">
        <f t="shared" si="155"/>
        <v>100</v>
      </c>
      <c r="N221" s="14">
        <f t="shared" si="158"/>
        <v>6000000</v>
      </c>
      <c r="O221" s="30">
        <f t="shared" si="159"/>
        <v>100</v>
      </c>
      <c r="Q221" s="47"/>
      <c r="R221" s="47"/>
      <c r="S221" s="47"/>
      <c r="T221" s="47"/>
      <c r="U221" s="56"/>
      <c r="V221" s="47"/>
      <c r="W221" s="47"/>
      <c r="X221" s="47"/>
      <c r="Y221" s="47"/>
      <c r="Z221" s="47"/>
      <c r="AA221" s="47"/>
    </row>
    <row r="222" spans="1:27" ht="30" customHeight="1" x14ac:dyDescent="0.3">
      <c r="A222" s="39" t="s">
        <v>321</v>
      </c>
      <c r="B222" s="55" t="s">
        <v>322</v>
      </c>
      <c r="C222" s="12"/>
      <c r="D222" s="15"/>
      <c r="E222" s="22">
        <f>SUM(E223:E227)</f>
        <v>72050000</v>
      </c>
      <c r="F222" s="22">
        <f>SUM(F223:F227)</f>
        <v>4700000</v>
      </c>
      <c r="G222" s="22">
        <f>G227</f>
        <v>0</v>
      </c>
      <c r="H222" s="28">
        <f t="shared" si="102"/>
        <v>0</v>
      </c>
      <c r="I222" s="22">
        <f>I227</f>
        <v>0</v>
      </c>
      <c r="J222" s="19">
        <f t="shared" si="103"/>
        <v>0</v>
      </c>
      <c r="K222" s="28">
        <f t="shared" ref="K222:K231" si="160">J222/F222*100</f>
        <v>0</v>
      </c>
      <c r="L222" s="22">
        <f t="shared" si="154"/>
        <v>4700000</v>
      </c>
      <c r="M222" s="32">
        <f t="shared" si="155"/>
        <v>100</v>
      </c>
      <c r="N222" s="19">
        <f t="shared" si="106"/>
        <v>72050000</v>
      </c>
      <c r="O222" s="28">
        <f t="shared" si="107"/>
        <v>100</v>
      </c>
      <c r="Q222" s="47"/>
      <c r="R222" s="47"/>
      <c r="S222" s="47"/>
      <c r="T222" s="47"/>
      <c r="U222" s="56"/>
      <c r="V222" s="47"/>
      <c r="W222" s="47"/>
      <c r="X222" s="47"/>
      <c r="Y222" s="47"/>
      <c r="Z222" s="47"/>
      <c r="AA222" s="47"/>
    </row>
    <row r="223" spans="1:27" ht="21.6" customHeight="1" x14ac:dyDescent="0.3">
      <c r="A223" s="39"/>
      <c r="B223" s="40" t="s">
        <v>422</v>
      </c>
      <c r="C223" s="12"/>
      <c r="D223" s="15"/>
      <c r="E223" s="21">
        <v>350000</v>
      </c>
      <c r="F223" s="21">
        <v>0</v>
      </c>
      <c r="G223" s="21">
        <f t="shared" ref="G223:G226" si="161">G228</f>
        <v>0</v>
      </c>
      <c r="H223" s="30">
        <v>0</v>
      </c>
      <c r="I223" s="21">
        <f t="shared" ref="I223:I226" si="162">I228</f>
        <v>0</v>
      </c>
      <c r="J223" s="14">
        <f t="shared" ref="J223:J225" si="163">G223+I223</f>
        <v>0</v>
      </c>
      <c r="K223" s="30">
        <v>0</v>
      </c>
      <c r="L223" s="21">
        <f t="shared" ref="L223:L225" si="164">F223-J223</f>
        <v>0</v>
      </c>
      <c r="M223" s="29">
        <v>0</v>
      </c>
      <c r="N223" s="14">
        <f t="shared" ref="N223:N225" si="165">E223-J223</f>
        <v>350000</v>
      </c>
      <c r="O223" s="30">
        <f t="shared" ref="O223:O225" si="166">N223/E223*100</f>
        <v>100</v>
      </c>
      <c r="Q223" s="47"/>
      <c r="R223" s="47"/>
      <c r="S223" s="47"/>
      <c r="T223" s="47"/>
      <c r="U223" s="56"/>
      <c r="V223" s="47"/>
      <c r="W223" s="47"/>
      <c r="X223" s="47"/>
      <c r="Y223" s="47"/>
      <c r="Z223" s="47"/>
      <c r="AA223" s="47"/>
    </row>
    <row r="224" spans="1:27" ht="21.6" customHeight="1" x14ac:dyDescent="0.3">
      <c r="A224" s="39"/>
      <c r="B224" s="40" t="s">
        <v>423</v>
      </c>
      <c r="C224" s="12"/>
      <c r="D224" s="15"/>
      <c r="E224" s="21">
        <v>27000000</v>
      </c>
      <c r="F224" s="21">
        <v>0</v>
      </c>
      <c r="G224" s="21">
        <f t="shared" si="161"/>
        <v>0</v>
      </c>
      <c r="H224" s="30">
        <v>0</v>
      </c>
      <c r="I224" s="21">
        <f t="shared" si="162"/>
        <v>0</v>
      </c>
      <c r="J224" s="14">
        <f t="shared" si="163"/>
        <v>0</v>
      </c>
      <c r="K224" s="30">
        <v>0</v>
      </c>
      <c r="L224" s="21">
        <f t="shared" si="164"/>
        <v>0</v>
      </c>
      <c r="M224" s="29">
        <v>0</v>
      </c>
      <c r="N224" s="14">
        <f t="shared" si="165"/>
        <v>27000000</v>
      </c>
      <c r="O224" s="30">
        <f t="shared" si="166"/>
        <v>100</v>
      </c>
      <c r="Q224" s="47"/>
      <c r="R224" s="47"/>
      <c r="S224" s="47"/>
      <c r="T224" s="47"/>
      <c r="U224" s="56"/>
      <c r="V224" s="47"/>
      <c r="W224" s="47"/>
      <c r="X224" s="47"/>
      <c r="Y224" s="47"/>
      <c r="Z224" s="47"/>
      <c r="AA224" s="47"/>
    </row>
    <row r="225" spans="1:27" ht="24.6" customHeight="1" x14ac:dyDescent="0.3">
      <c r="A225" s="39"/>
      <c r="B225" s="40" t="s">
        <v>424</v>
      </c>
      <c r="C225" s="12"/>
      <c r="D225" s="15"/>
      <c r="E225" s="21">
        <v>40000000</v>
      </c>
      <c r="F225" s="21">
        <v>0</v>
      </c>
      <c r="G225" s="21">
        <f t="shared" si="161"/>
        <v>0</v>
      </c>
      <c r="H225" s="30">
        <v>0</v>
      </c>
      <c r="I225" s="21">
        <f t="shared" si="162"/>
        <v>0</v>
      </c>
      <c r="J225" s="14">
        <f t="shared" si="163"/>
        <v>0</v>
      </c>
      <c r="K225" s="30">
        <v>0</v>
      </c>
      <c r="L225" s="21">
        <f t="shared" si="164"/>
        <v>0</v>
      </c>
      <c r="M225" s="29">
        <v>0</v>
      </c>
      <c r="N225" s="14">
        <f t="shared" si="165"/>
        <v>40000000</v>
      </c>
      <c r="O225" s="30">
        <f t="shared" si="166"/>
        <v>100</v>
      </c>
      <c r="Q225" s="47"/>
      <c r="R225" s="47"/>
      <c r="S225" s="47"/>
      <c r="T225" s="47"/>
      <c r="U225" s="56"/>
      <c r="V225" s="47"/>
      <c r="W225" s="47"/>
      <c r="X225" s="47"/>
      <c r="Y225" s="47"/>
      <c r="Z225" s="47"/>
      <c r="AA225" s="47"/>
    </row>
    <row r="226" spans="1:27" ht="22.8" customHeight="1" x14ac:dyDescent="0.3">
      <c r="A226" s="39"/>
      <c r="B226" s="40" t="s">
        <v>425</v>
      </c>
      <c r="C226" s="12"/>
      <c r="D226" s="15"/>
      <c r="E226" s="21">
        <v>1700000</v>
      </c>
      <c r="F226" s="21">
        <v>1700000</v>
      </c>
      <c r="G226" s="21">
        <f t="shared" si="161"/>
        <v>0</v>
      </c>
      <c r="H226" s="30">
        <v>0</v>
      </c>
      <c r="I226" s="21">
        <f t="shared" si="162"/>
        <v>0</v>
      </c>
      <c r="J226" s="14">
        <f t="shared" ref="J226" si="167">G226+I226</f>
        <v>0</v>
      </c>
      <c r="K226" s="30">
        <v>0</v>
      </c>
      <c r="L226" s="21">
        <f t="shared" ref="L226" si="168">F226-J226</f>
        <v>1700000</v>
      </c>
      <c r="M226" s="29">
        <f t="shared" si="155"/>
        <v>100</v>
      </c>
      <c r="N226" s="14">
        <f t="shared" ref="N226" si="169">E226-J226</f>
        <v>1700000</v>
      </c>
      <c r="O226" s="30">
        <f t="shared" ref="O226" si="170">N226/E226*100</f>
        <v>100</v>
      </c>
      <c r="Q226" s="47"/>
      <c r="R226" s="47"/>
      <c r="S226" s="47"/>
      <c r="T226" s="47"/>
      <c r="U226" s="56"/>
      <c r="V226" s="47"/>
      <c r="W226" s="47"/>
      <c r="X226" s="47"/>
      <c r="Y226" s="47"/>
      <c r="Z226" s="47"/>
      <c r="AA226" s="47"/>
    </row>
    <row r="227" spans="1:27" ht="18" customHeight="1" x14ac:dyDescent="0.3">
      <c r="A227" s="39"/>
      <c r="B227" s="40" t="s">
        <v>426</v>
      </c>
      <c r="C227" s="12"/>
      <c r="D227" s="15"/>
      <c r="E227" s="21">
        <v>3000000</v>
      </c>
      <c r="F227" s="21">
        <v>3000000</v>
      </c>
      <c r="G227" s="21">
        <v>0</v>
      </c>
      <c r="H227" s="30">
        <f t="shared" si="102"/>
        <v>0</v>
      </c>
      <c r="I227" s="21">
        <v>0</v>
      </c>
      <c r="J227" s="14">
        <f t="shared" si="103"/>
        <v>0</v>
      </c>
      <c r="K227" s="30">
        <f t="shared" si="160"/>
        <v>0</v>
      </c>
      <c r="L227" s="21">
        <f t="shared" si="154"/>
        <v>3000000</v>
      </c>
      <c r="M227" s="29">
        <f t="shared" si="155"/>
        <v>100</v>
      </c>
      <c r="N227" s="14">
        <f t="shared" si="106"/>
        <v>3000000</v>
      </c>
      <c r="O227" s="30">
        <f t="shared" si="107"/>
        <v>100</v>
      </c>
      <c r="Q227" s="47"/>
      <c r="R227" s="47"/>
      <c r="S227" s="47"/>
      <c r="T227" s="47"/>
      <c r="U227" s="56"/>
      <c r="V227" s="47"/>
      <c r="W227" s="47"/>
      <c r="X227" s="47"/>
      <c r="Y227" s="47"/>
      <c r="Z227" s="47"/>
      <c r="AA227" s="47"/>
    </row>
    <row r="228" spans="1:27" ht="18" customHeight="1" x14ac:dyDescent="0.3">
      <c r="A228" s="53" t="s">
        <v>427</v>
      </c>
      <c r="B228" s="55" t="s">
        <v>95</v>
      </c>
      <c r="C228" s="12"/>
      <c r="D228" s="15"/>
      <c r="E228" s="22">
        <f>SUM(E229:E232)</f>
        <v>163200000</v>
      </c>
      <c r="F228" s="22">
        <f>SUM(F229:F232)</f>
        <v>163200000</v>
      </c>
      <c r="G228" s="22">
        <f>SUM(G229:G231)</f>
        <v>0</v>
      </c>
      <c r="H228" s="28">
        <f t="shared" si="102"/>
        <v>0</v>
      </c>
      <c r="I228" s="22">
        <f>SUM(I229:I231)</f>
        <v>0</v>
      </c>
      <c r="J228" s="19">
        <f t="shared" si="103"/>
        <v>0</v>
      </c>
      <c r="K228" s="28">
        <f t="shared" si="160"/>
        <v>0</v>
      </c>
      <c r="L228" s="22">
        <f t="shared" si="154"/>
        <v>163200000</v>
      </c>
      <c r="M228" s="32">
        <f t="shared" si="155"/>
        <v>100</v>
      </c>
      <c r="N228" s="19">
        <f t="shared" si="106"/>
        <v>163200000</v>
      </c>
      <c r="O228" s="28">
        <f t="shared" si="107"/>
        <v>100</v>
      </c>
      <c r="Q228" s="47"/>
      <c r="R228" s="47"/>
      <c r="S228" s="47"/>
      <c r="T228" s="47"/>
      <c r="U228" s="56"/>
      <c r="V228" s="47"/>
      <c r="W228" s="47"/>
      <c r="X228" s="47"/>
      <c r="Y228" s="47"/>
      <c r="Z228" s="47"/>
      <c r="AA228" s="47"/>
    </row>
    <row r="229" spans="1:27" ht="18" customHeight="1" x14ac:dyDescent="0.3">
      <c r="A229" s="39"/>
      <c r="B229" s="40" t="s">
        <v>428</v>
      </c>
      <c r="C229" s="12"/>
      <c r="D229" s="15"/>
      <c r="E229" s="21">
        <v>2400000</v>
      </c>
      <c r="F229" s="21">
        <v>2400000</v>
      </c>
      <c r="G229" s="21">
        <v>0</v>
      </c>
      <c r="H229" s="30">
        <f t="shared" si="102"/>
        <v>0</v>
      </c>
      <c r="I229" s="21">
        <v>0</v>
      </c>
      <c r="J229" s="14">
        <f t="shared" ref="J229:J292" si="171">G229+I229</f>
        <v>0</v>
      </c>
      <c r="K229" s="30">
        <f t="shared" si="160"/>
        <v>0</v>
      </c>
      <c r="L229" s="21">
        <f t="shared" si="154"/>
        <v>2400000</v>
      </c>
      <c r="M229" s="29">
        <f t="shared" si="155"/>
        <v>100</v>
      </c>
      <c r="N229" s="14">
        <f t="shared" ref="N229:N292" si="172">E229-J229</f>
        <v>2400000</v>
      </c>
      <c r="O229" s="30">
        <f t="shared" ref="O229:O292" si="173">N229/E229*100</f>
        <v>100</v>
      </c>
      <c r="Q229" s="47"/>
      <c r="R229" s="47"/>
      <c r="S229" s="47"/>
      <c r="T229" s="47"/>
      <c r="U229" s="56"/>
      <c r="V229" s="47"/>
      <c r="W229" s="47"/>
      <c r="X229" s="47"/>
      <c r="Y229" s="47"/>
      <c r="Z229" s="47"/>
      <c r="AA229" s="47"/>
    </row>
    <row r="230" spans="1:27" ht="18" customHeight="1" x14ac:dyDescent="0.3">
      <c r="A230" s="39"/>
      <c r="B230" s="40" t="s">
        <v>429</v>
      </c>
      <c r="C230" s="12"/>
      <c r="D230" s="15"/>
      <c r="E230" s="21">
        <v>120000000</v>
      </c>
      <c r="F230" s="21">
        <v>120000000</v>
      </c>
      <c r="G230" s="21">
        <v>0</v>
      </c>
      <c r="H230" s="30">
        <f t="shared" si="102"/>
        <v>0</v>
      </c>
      <c r="I230" s="21">
        <v>0</v>
      </c>
      <c r="J230" s="14">
        <f t="shared" si="171"/>
        <v>0</v>
      </c>
      <c r="K230" s="30">
        <f t="shared" si="160"/>
        <v>0</v>
      </c>
      <c r="L230" s="21">
        <f t="shared" si="154"/>
        <v>120000000</v>
      </c>
      <c r="M230" s="29">
        <f t="shared" si="155"/>
        <v>100</v>
      </c>
      <c r="N230" s="14">
        <f t="shared" si="172"/>
        <v>120000000</v>
      </c>
      <c r="O230" s="30">
        <f t="shared" si="173"/>
        <v>100</v>
      </c>
      <c r="Q230" s="47"/>
      <c r="R230" s="47"/>
      <c r="S230" s="47"/>
      <c r="T230" s="47"/>
      <c r="U230" s="56"/>
      <c r="V230" s="47"/>
      <c r="W230" s="47"/>
      <c r="X230" s="47"/>
      <c r="Y230" s="47"/>
      <c r="Z230" s="47"/>
      <c r="AA230" s="47"/>
    </row>
    <row r="231" spans="1:27" ht="18" customHeight="1" x14ac:dyDescent="0.3">
      <c r="A231" s="57"/>
      <c r="B231" s="40" t="s">
        <v>430</v>
      </c>
      <c r="C231" s="12"/>
      <c r="D231" s="15"/>
      <c r="E231" s="21">
        <v>800000</v>
      </c>
      <c r="F231" s="21">
        <v>800000</v>
      </c>
      <c r="G231" s="21">
        <v>0</v>
      </c>
      <c r="H231" s="30">
        <f t="shared" si="102"/>
        <v>0</v>
      </c>
      <c r="I231" s="21">
        <v>0</v>
      </c>
      <c r="J231" s="14">
        <f t="shared" si="171"/>
        <v>0</v>
      </c>
      <c r="K231" s="30">
        <f t="shared" si="160"/>
        <v>0</v>
      </c>
      <c r="L231" s="21">
        <f t="shared" si="154"/>
        <v>800000</v>
      </c>
      <c r="M231" s="29">
        <f t="shared" si="155"/>
        <v>100</v>
      </c>
      <c r="N231" s="21">
        <f t="shared" si="172"/>
        <v>800000</v>
      </c>
      <c r="O231" s="29">
        <f t="shared" si="173"/>
        <v>100</v>
      </c>
      <c r="Q231" s="47"/>
      <c r="R231" s="47"/>
      <c r="S231" s="47"/>
      <c r="T231" s="47"/>
      <c r="U231" s="56"/>
      <c r="V231" s="47"/>
      <c r="W231" s="47"/>
      <c r="X231" s="47"/>
      <c r="Y231" s="47"/>
      <c r="Z231" s="47"/>
      <c r="AA231" s="47"/>
    </row>
    <row r="232" spans="1:27" ht="25.2" customHeight="1" x14ac:dyDescent="0.3">
      <c r="A232" s="57"/>
      <c r="B232" s="40" t="s">
        <v>431</v>
      </c>
      <c r="C232" s="12"/>
      <c r="D232" s="15"/>
      <c r="E232" s="21">
        <v>40000000</v>
      </c>
      <c r="F232" s="21">
        <v>40000000</v>
      </c>
      <c r="G232" s="21">
        <v>0</v>
      </c>
      <c r="H232" s="30">
        <f t="shared" ref="H232:H237" si="174">G232/F232*100</f>
        <v>0</v>
      </c>
      <c r="I232" s="21">
        <v>0</v>
      </c>
      <c r="J232" s="14">
        <f t="shared" ref="J232:J237" si="175">G232+I232</f>
        <v>0</v>
      </c>
      <c r="K232" s="30">
        <f t="shared" ref="K232:K237" si="176">J232/F232*100</f>
        <v>0</v>
      </c>
      <c r="L232" s="21">
        <f t="shared" ref="L232:L237" si="177">F232-J232</f>
        <v>40000000</v>
      </c>
      <c r="M232" s="29">
        <f t="shared" ref="M232:M237" si="178">L232/F232*100</f>
        <v>100</v>
      </c>
      <c r="N232" s="21">
        <f t="shared" ref="N232:N237" si="179">E232-J232</f>
        <v>40000000</v>
      </c>
      <c r="O232" s="29">
        <f t="shared" ref="O232:O237" si="180">N232/E232*100</f>
        <v>100</v>
      </c>
      <c r="Q232" s="47"/>
      <c r="R232" s="47"/>
      <c r="S232" s="47"/>
      <c r="T232" s="47"/>
      <c r="U232" s="56"/>
      <c r="V232" s="47"/>
      <c r="W232" s="47"/>
      <c r="X232" s="47"/>
      <c r="Y232" s="47"/>
      <c r="Z232" s="47"/>
      <c r="AA232" s="47"/>
    </row>
    <row r="233" spans="1:27" ht="25.2" customHeight="1" x14ac:dyDescent="0.3">
      <c r="A233" s="53" t="s">
        <v>432</v>
      </c>
      <c r="B233" s="55" t="s">
        <v>433</v>
      </c>
      <c r="C233" s="12"/>
      <c r="D233" s="15"/>
      <c r="E233" s="22">
        <f>SUM(E234:E235)</f>
        <v>21420000</v>
      </c>
      <c r="F233" s="22">
        <f>SUM(F234:F235)</f>
        <v>21420000</v>
      </c>
      <c r="G233" s="22">
        <v>0</v>
      </c>
      <c r="H233" s="28">
        <f t="shared" si="174"/>
        <v>0</v>
      </c>
      <c r="I233" s="22">
        <v>0</v>
      </c>
      <c r="J233" s="19">
        <f t="shared" si="175"/>
        <v>0</v>
      </c>
      <c r="K233" s="28">
        <f t="shared" si="176"/>
        <v>0</v>
      </c>
      <c r="L233" s="22">
        <f t="shared" si="177"/>
        <v>21420000</v>
      </c>
      <c r="M233" s="32">
        <f t="shared" si="178"/>
        <v>100</v>
      </c>
      <c r="N233" s="22">
        <f t="shared" si="179"/>
        <v>21420000</v>
      </c>
      <c r="O233" s="32">
        <f t="shared" si="180"/>
        <v>100</v>
      </c>
      <c r="Q233" s="47"/>
      <c r="R233" s="47"/>
      <c r="S233" s="47"/>
      <c r="T233" s="47"/>
      <c r="U233" s="56"/>
      <c r="V233" s="47"/>
      <c r="W233" s="47"/>
      <c r="X233" s="47"/>
      <c r="Y233" s="47"/>
      <c r="Z233" s="47"/>
      <c r="AA233" s="47"/>
    </row>
    <row r="234" spans="1:27" ht="25.2" customHeight="1" x14ac:dyDescent="0.3">
      <c r="A234" s="57"/>
      <c r="B234" s="40" t="s">
        <v>434</v>
      </c>
      <c r="C234" s="12"/>
      <c r="D234" s="15"/>
      <c r="E234" s="21">
        <v>420000</v>
      </c>
      <c r="F234" s="21">
        <v>420000</v>
      </c>
      <c r="G234" s="21">
        <v>0</v>
      </c>
      <c r="H234" s="30">
        <f t="shared" si="174"/>
        <v>0</v>
      </c>
      <c r="I234" s="21">
        <v>0</v>
      </c>
      <c r="J234" s="14">
        <f t="shared" si="175"/>
        <v>0</v>
      </c>
      <c r="K234" s="30">
        <f t="shared" si="176"/>
        <v>0</v>
      </c>
      <c r="L234" s="21">
        <f t="shared" si="177"/>
        <v>420000</v>
      </c>
      <c r="M234" s="29">
        <f t="shared" si="178"/>
        <v>100</v>
      </c>
      <c r="N234" s="21">
        <f t="shared" si="179"/>
        <v>420000</v>
      </c>
      <c r="O234" s="29">
        <f t="shared" si="180"/>
        <v>100</v>
      </c>
      <c r="Q234" s="47"/>
      <c r="R234" s="47"/>
      <c r="S234" s="47"/>
      <c r="T234" s="47"/>
      <c r="U234" s="56"/>
      <c r="V234" s="47"/>
      <c r="W234" s="47"/>
      <c r="X234" s="47"/>
      <c r="Y234" s="47"/>
      <c r="Z234" s="47"/>
      <c r="AA234" s="47"/>
    </row>
    <row r="235" spans="1:27" ht="25.2" customHeight="1" x14ac:dyDescent="0.3">
      <c r="A235" s="57"/>
      <c r="B235" s="40" t="s">
        <v>435</v>
      </c>
      <c r="C235" s="12"/>
      <c r="D235" s="15"/>
      <c r="E235" s="21">
        <v>21000000</v>
      </c>
      <c r="F235" s="21">
        <v>21000000</v>
      </c>
      <c r="G235" s="21">
        <v>0</v>
      </c>
      <c r="H235" s="30">
        <f t="shared" si="174"/>
        <v>0</v>
      </c>
      <c r="I235" s="21">
        <v>0</v>
      </c>
      <c r="J235" s="14">
        <f t="shared" si="175"/>
        <v>0</v>
      </c>
      <c r="K235" s="30">
        <f t="shared" si="176"/>
        <v>0</v>
      </c>
      <c r="L235" s="21">
        <f t="shared" si="177"/>
        <v>21000000</v>
      </c>
      <c r="M235" s="29">
        <f t="shared" si="178"/>
        <v>100</v>
      </c>
      <c r="N235" s="21">
        <f t="shared" si="179"/>
        <v>21000000</v>
      </c>
      <c r="O235" s="29">
        <f t="shared" si="180"/>
        <v>100</v>
      </c>
      <c r="Q235" s="47"/>
      <c r="R235" s="47"/>
      <c r="S235" s="47"/>
      <c r="T235" s="47"/>
      <c r="U235" s="56"/>
      <c r="V235" s="47"/>
      <c r="W235" s="47"/>
      <c r="X235" s="47"/>
      <c r="Y235" s="47"/>
      <c r="Z235" s="47"/>
      <c r="AA235" s="47"/>
    </row>
    <row r="236" spans="1:27" ht="25.2" customHeight="1" x14ac:dyDescent="0.3">
      <c r="A236" s="53" t="s">
        <v>436</v>
      </c>
      <c r="B236" s="55" t="s">
        <v>437</v>
      </c>
      <c r="C236" s="12"/>
      <c r="D236" s="15"/>
      <c r="E236" s="22">
        <f>SUM(E237:E237)</f>
        <v>16000000</v>
      </c>
      <c r="F236" s="22">
        <f>SUM(F237:F237)</f>
        <v>16000000</v>
      </c>
      <c r="G236" s="22">
        <v>0</v>
      </c>
      <c r="H236" s="28">
        <f t="shared" si="174"/>
        <v>0</v>
      </c>
      <c r="I236" s="22">
        <v>0</v>
      </c>
      <c r="J236" s="19">
        <f t="shared" si="175"/>
        <v>0</v>
      </c>
      <c r="K236" s="28">
        <f t="shared" si="176"/>
        <v>0</v>
      </c>
      <c r="L236" s="22">
        <f t="shared" si="177"/>
        <v>16000000</v>
      </c>
      <c r="M236" s="32">
        <f t="shared" si="178"/>
        <v>100</v>
      </c>
      <c r="N236" s="22">
        <f t="shared" si="179"/>
        <v>16000000</v>
      </c>
      <c r="O236" s="32">
        <f t="shared" si="180"/>
        <v>100</v>
      </c>
      <c r="Q236" s="47"/>
      <c r="R236" s="47"/>
      <c r="S236" s="47"/>
      <c r="T236" s="47"/>
      <c r="U236" s="56"/>
      <c r="V236" s="47"/>
      <c r="W236" s="47"/>
      <c r="X236" s="47"/>
      <c r="Y236" s="47"/>
      <c r="Z236" s="47"/>
      <c r="AA236" s="47"/>
    </row>
    <row r="237" spans="1:27" ht="25.2" customHeight="1" x14ac:dyDescent="0.3">
      <c r="A237" s="57"/>
      <c r="B237" s="40" t="s">
        <v>438</v>
      </c>
      <c r="C237" s="12"/>
      <c r="D237" s="15"/>
      <c r="E237" s="21">
        <v>16000000</v>
      </c>
      <c r="F237" s="21">
        <v>16000000</v>
      </c>
      <c r="G237" s="21">
        <v>0</v>
      </c>
      <c r="H237" s="30">
        <f t="shared" si="174"/>
        <v>0</v>
      </c>
      <c r="I237" s="21">
        <v>0</v>
      </c>
      <c r="J237" s="14">
        <f t="shared" si="175"/>
        <v>0</v>
      </c>
      <c r="K237" s="30">
        <f t="shared" si="176"/>
        <v>0</v>
      </c>
      <c r="L237" s="21">
        <f t="shared" si="177"/>
        <v>16000000</v>
      </c>
      <c r="M237" s="29">
        <f t="shared" si="178"/>
        <v>100</v>
      </c>
      <c r="N237" s="21">
        <f t="shared" si="179"/>
        <v>16000000</v>
      </c>
      <c r="O237" s="29">
        <f t="shared" si="180"/>
        <v>100</v>
      </c>
      <c r="Q237" s="47"/>
      <c r="R237" s="47"/>
      <c r="S237" s="47"/>
      <c r="T237" s="47"/>
      <c r="U237" s="56"/>
      <c r="V237" s="47"/>
      <c r="W237" s="47"/>
      <c r="X237" s="47"/>
      <c r="Y237" s="47"/>
      <c r="Z237" s="47"/>
      <c r="AA237" s="47"/>
    </row>
    <row r="238" spans="1:27" ht="25.2" customHeight="1" x14ac:dyDescent="0.3">
      <c r="A238" s="57"/>
      <c r="B238" s="40"/>
      <c r="C238" s="12"/>
      <c r="D238" s="15"/>
      <c r="E238" s="21"/>
      <c r="F238" s="21"/>
      <c r="G238" s="21"/>
      <c r="H238" s="30"/>
      <c r="I238" s="21"/>
      <c r="J238" s="14"/>
      <c r="K238" s="30"/>
      <c r="L238" s="21"/>
      <c r="M238" s="29"/>
      <c r="N238" s="21"/>
      <c r="O238" s="29"/>
      <c r="Q238" s="47"/>
      <c r="R238" s="47"/>
      <c r="S238" s="47"/>
      <c r="T238" s="47"/>
      <c r="U238" s="56"/>
      <c r="V238" s="47"/>
      <c r="W238" s="47"/>
      <c r="X238" s="47"/>
      <c r="Y238" s="47"/>
      <c r="Z238" s="47"/>
      <c r="AA238" s="47"/>
    </row>
    <row r="239" spans="1:27" ht="38.4" customHeight="1" x14ac:dyDescent="0.3">
      <c r="A239" s="87" t="s">
        <v>131</v>
      </c>
      <c r="B239" s="11" t="s">
        <v>132</v>
      </c>
      <c r="C239" s="12" t="s">
        <v>293</v>
      </c>
      <c r="D239" s="15" t="s">
        <v>330</v>
      </c>
      <c r="E239" s="19">
        <f>E240</f>
        <v>864000000</v>
      </c>
      <c r="F239" s="19">
        <f>F240</f>
        <v>24000000</v>
      </c>
      <c r="G239" s="19">
        <f>G240</f>
        <v>0</v>
      </c>
      <c r="H239" s="28">
        <v>0</v>
      </c>
      <c r="I239" s="19">
        <f>I240</f>
        <v>0</v>
      </c>
      <c r="J239" s="19">
        <f t="shared" si="171"/>
        <v>0</v>
      </c>
      <c r="K239" s="28">
        <f t="shared" si="137"/>
        <v>0</v>
      </c>
      <c r="L239" s="22">
        <f t="shared" si="154"/>
        <v>24000000</v>
      </c>
      <c r="M239" s="32">
        <f t="shared" si="155"/>
        <v>100</v>
      </c>
      <c r="N239" s="22">
        <f t="shared" si="172"/>
        <v>864000000</v>
      </c>
      <c r="O239" s="32">
        <f t="shared" si="173"/>
        <v>100</v>
      </c>
      <c r="Q239" s="47"/>
      <c r="R239" s="47"/>
      <c r="S239" s="47"/>
      <c r="T239" s="47"/>
      <c r="U239" s="56"/>
      <c r="V239" s="47"/>
      <c r="W239" s="47"/>
      <c r="X239" s="47"/>
      <c r="Y239" s="47"/>
      <c r="Z239" s="47"/>
      <c r="AA239" s="47"/>
    </row>
    <row r="240" spans="1:27" ht="18" customHeight="1" x14ac:dyDescent="0.3">
      <c r="A240" s="70" t="s">
        <v>439</v>
      </c>
      <c r="B240" s="12" t="s">
        <v>323</v>
      </c>
      <c r="C240" s="12"/>
      <c r="D240" s="15"/>
      <c r="E240" s="19">
        <f>E241+E246</f>
        <v>864000000</v>
      </c>
      <c r="F240" s="19">
        <f>SUM(F242:F250)</f>
        <v>24000000</v>
      </c>
      <c r="G240" s="19">
        <f>SUM(G242:G250)</f>
        <v>0</v>
      </c>
      <c r="H240" s="28">
        <v>0</v>
      </c>
      <c r="I240" s="19">
        <f>SUM(I242:I250)</f>
        <v>0</v>
      </c>
      <c r="J240" s="19">
        <f t="shared" si="171"/>
        <v>0</v>
      </c>
      <c r="K240" s="28">
        <v>0</v>
      </c>
      <c r="L240" s="22">
        <f t="shared" si="154"/>
        <v>24000000</v>
      </c>
      <c r="M240" s="32">
        <f t="shared" si="155"/>
        <v>100</v>
      </c>
      <c r="N240" s="19">
        <f t="shared" si="172"/>
        <v>864000000</v>
      </c>
      <c r="O240" s="28">
        <f t="shared" si="173"/>
        <v>100</v>
      </c>
      <c r="Q240" s="47"/>
      <c r="R240" s="47"/>
      <c r="S240" s="47"/>
      <c r="T240" s="47"/>
      <c r="U240" s="56"/>
      <c r="V240" s="47"/>
      <c r="W240" s="47"/>
      <c r="X240" s="47"/>
      <c r="Y240" s="47"/>
      <c r="Z240" s="47"/>
      <c r="AA240" s="47"/>
    </row>
    <row r="241" spans="1:27" ht="18" customHeight="1" x14ac:dyDescent="0.3">
      <c r="A241" s="70"/>
      <c r="B241" s="12" t="s">
        <v>441</v>
      </c>
      <c r="C241" s="12"/>
      <c r="D241" s="15"/>
      <c r="E241" s="19">
        <f>SUM(E242:E245)</f>
        <v>216000000</v>
      </c>
      <c r="F241" s="19">
        <v>0</v>
      </c>
      <c r="G241" s="19"/>
      <c r="H241" s="28"/>
      <c r="I241" s="19"/>
      <c r="J241" s="19"/>
      <c r="K241" s="28"/>
      <c r="L241" s="22">
        <f t="shared" ref="L241:L250" si="181">F241-J241</f>
        <v>0</v>
      </c>
      <c r="M241" s="32">
        <v>0</v>
      </c>
      <c r="N241" s="19">
        <f t="shared" ref="N241:N250" si="182">E241-J241</f>
        <v>216000000</v>
      </c>
      <c r="O241" s="28">
        <f t="shared" ref="O241:O250" si="183">N241/E241*100</f>
        <v>100</v>
      </c>
      <c r="Q241" s="47"/>
      <c r="R241" s="47"/>
      <c r="S241" s="47"/>
      <c r="T241" s="47"/>
      <c r="U241" s="56"/>
      <c r="V241" s="47"/>
      <c r="W241" s="47"/>
      <c r="X241" s="47"/>
      <c r="Y241" s="47"/>
      <c r="Z241" s="47"/>
      <c r="AA241" s="47"/>
    </row>
    <row r="242" spans="1:27" ht="18" customHeight="1" x14ac:dyDescent="0.3">
      <c r="A242" s="57"/>
      <c r="B242" s="40" t="s">
        <v>440</v>
      </c>
      <c r="C242" s="55"/>
      <c r="D242" s="62"/>
      <c r="E242" s="21">
        <v>4000000</v>
      </c>
      <c r="F242" s="21">
        <v>0</v>
      </c>
      <c r="G242" s="21">
        <v>0</v>
      </c>
      <c r="H242" s="32">
        <v>0</v>
      </c>
      <c r="I242" s="21">
        <v>0</v>
      </c>
      <c r="J242" s="22">
        <f t="shared" si="171"/>
        <v>0</v>
      </c>
      <c r="K242" s="29">
        <v>0</v>
      </c>
      <c r="L242" s="21">
        <f t="shared" si="181"/>
        <v>0</v>
      </c>
      <c r="M242" s="29">
        <v>0</v>
      </c>
      <c r="N242" s="14">
        <f t="shared" si="182"/>
        <v>4000000</v>
      </c>
      <c r="O242" s="30">
        <f t="shared" si="183"/>
        <v>100</v>
      </c>
      <c r="Q242" s="47"/>
      <c r="R242" s="47"/>
      <c r="S242" s="47"/>
      <c r="T242" s="47"/>
      <c r="U242" s="56"/>
      <c r="V242" s="47"/>
      <c r="W242" s="47"/>
      <c r="X242" s="47"/>
      <c r="Y242" s="47"/>
      <c r="Z242" s="47"/>
      <c r="AA242" s="47"/>
    </row>
    <row r="243" spans="1:27" ht="18" customHeight="1" x14ac:dyDescent="0.3">
      <c r="A243" s="57"/>
      <c r="B243" s="40" t="s">
        <v>442</v>
      </c>
      <c r="C243" s="55"/>
      <c r="D243" s="62"/>
      <c r="E243" s="21">
        <v>6000000</v>
      </c>
      <c r="F243" s="21">
        <v>6000000</v>
      </c>
      <c r="G243" s="21"/>
      <c r="H243" s="32"/>
      <c r="I243" s="21"/>
      <c r="J243" s="22"/>
      <c r="K243" s="29"/>
      <c r="L243" s="21">
        <f t="shared" si="181"/>
        <v>6000000</v>
      </c>
      <c r="M243" s="29">
        <f t="shared" si="155"/>
        <v>100</v>
      </c>
      <c r="N243" s="14">
        <f t="shared" si="182"/>
        <v>6000000</v>
      </c>
      <c r="O243" s="30">
        <f t="shared" si="183"/>
        <v>100</v>
      </c>
      <c r="Q243" s="47"/>
      <c r="R243" s="47"/>
      <c r="S243" s="47"/>
      <c r="T243" s="47"/>
      <c r="U243" s="56"/>
      <c r="V243" s="47"/>
      <c r="W243" s="47"/>
      <c r="X243" s="47"/>
      <c r="Y243" s="47"/>
      <c r="Z243" s="47"/>
      <c r="AA243" s="47"/>
    </row>
    <row r="244" spans="1:27" ht="18" customHeight="1" x14ac:dyDescent="0.3">
      <c r="A244" s="57"/>
      <c r="B244" s="40" t="s">
        <v>443</v>
      </c>
      <c r="C244" s="55"/>
      <c r="D244" s="62"/>
      <c r="E244" s="21">
        <v>6000000</v>
      </c>
      <c r="F244" s="21">
        <v>0</v>
      </c>
      <c r="G244" s="21"/>
      <c r="H244" s="32"/>
      <c r="I244" s="21"/>
      <c r="J244" s="22"/>
      <c r="K244" s="29"/>
      <c r="L244" s="21">
        <f t="shared" si="181"/>
        <v>0</v>
      </c>
      <c r="M244" s="29">
        <v>0</v>
      </c>
      <c r="N244" s="14">
        <f t="shared" si="182"/>
        <v>6000000</v>
      </c>
      <c r="O244" s="30">
        <f t="shared" si="183"/>
        <v>100</v>
      </c>
      <c r="Q244" s="47"/>
      <c r="R244" s="47"/>
      <c r="S244" s="47"/>
      <c r="T244" s="47"/>
      <c r="U244" s="56"/>
      <c r="V244" s="47"/>
      <c r="W244" s="47"/>
      <c r="X244" s="47"/>
      <c r="Y244" s="47"/>
      <c r="Z244" s="47"/>
      <c r="AA244" s="47"/>
    </row>
    <row r="245" spans="1:27" ht="18" customHeight="1" x14ac:dyDescent="0.3">
      <c r="A245" s="57"/>
      <c r="B245" s="40" t="s">
        <v>441</v>
      </c>
      <c r="C245" s="55"/>
      <c r="D245" s="62"/>
      <c r="E245" s="21">
        <v>200000000</v>
      </c>
      <c r="F245" s="21">
        <v>0</v>
      </c>
      <c r="G245" s="21">
        <v>0</v>
      </c>
      <c r="H245" s="32">
        <v>0</v>
      </c>
      <c r="I245" s="21">
        <v>0</v>
      </c>
      <c r="J245" s="22">
        <f t="shared" si="171"/>
        <v>0</v>
      </c>
      <c r="K245" s="29">
        <v>0</v>
      </c>
      <c r="L245" s="21">
        <f t="shared" si="181"/>
        <v>0</v>
      </c>
      <c r="M245" s="29">
        <v>0</v>
      </c>
      <c r="N245" s="14">
        <f t="shared" si="182"/>
        <v>200000000</v>
      </c>
      <c r="O245" s="30">
        <f t="shared" si="183"/>
        <v>100</v>
      </c>
      <c r="Q245" s="47"/>
      <c r="R245" s="47"/>
      <c r="S245" s="47"/>
      <c r="T245" s="47"/>
      <c r="U245" s="56"/>
      <c r="V245" s="47"/>
      <c r="W245" s="47"/>
      <c r="X245" s="47"/>
      <c r="Y245" s="47"/>
      <c r="Z245" s="47"/>
      <c r="AA245" s="47"/>
    </row>
    <row r="246" spans="1:27" ht="18" customHeight="1" x14ac:dyDescent="0.3">
      <c r="A246" s="57"/>
      <c r="B246" s="12" t="s">
        <v>444</v>
      </c>
      <c r="C246" s="55"/>
      <c r="D246" s="62"/>
      <c r="E246" s="22">
        <f>SUM(E247:E250)</f>
        <v>648000000</v>
      </c>
      <c r="F246" s="21">
        <v>0</v>
      </c>
      <c r="G246" s="21"/>
      <c r="H246" s="32"/>
      <c r="I246" s="21"/>
      <c r="J246" s="22"/>
      <c r="K246" s="29"/>
      <c r="L246" s="22">
        <f t="shared" si="181"/>
        <v>0</v>
      </c>
      <c r="M246" s="32">
        <v>0</v>
      </c>
      <c r="N246" s="19">
        <f t="shared" si="182"/>
        <v>648000000</v>
      </c>
      <c r="O246" s="28">
        <f t="shared" si="183"/>
        <v>100</v>
      </c>
      <c r="Q246" s="47"/>
      <c r="R246" s="47"/>
      <c r="S246" s="47"/>
      <c r="T246" s="47"/>
      <c r="U246" s="56"/>
      <c r="V246" s="47"/>
      <c r="W246" s="47"/>
      <c r="X246" s="47"/>
      <c r="Y246" s="47"/>
      <c r="Z246" s="47"/>
      <c r="AA246" s="47"/>
    </row>
    <row r="247" spans="1:27" ht="18" customHeight="1" x14ac:dyDescent="0.3">
      <c r="A247" s="57"/>
      <c r="B247" s="40" t="s">
        <v>445</v>
      </c>
      <c r="C247" s="55"/>
      <c r="D247" s="62"/>
      <c r="E247" s="21">
        <v>12000000</v>
      </c>
      <c r="F247" s="21">
        <v>0</v>
      </c>
      <c r="G247" s="21"/>
      <c r="H247" s="32"/>
      <c r="I247" s="21"/>
      <c r="J247" s="22"/>
      <c r="K247" s="29"/>
      <c r="L247" s="21">
        <f t="shared" si="181"/>
        <v>0</v>
      </c>
      <c r="M247" s="29">
        <v>0</v>
      </c>
      <c r="N247" s="14">
        <f t="shared" si="182"/>
        <v>12000000</v>
      </c>
      <c r="O247" s="30">
        <f t="shared" si="183"/>
        <v>100</v>
      </c>
      <c r="Q247" s="47"/>
      <c r="R247" s="47"/>
      <c r="S247" s="47"/>
      <c r="T247" s="47"/>
      <c r="U247" s="56"/>
      <c r="V247" s="47"/>
      <c r="W247" s="47"/>
      <c r="X247" s="47"/>
      <c r="Y247" s="47"/>
      <c r="Z247" s="47"/>
      <c r="AA247" s="47"/>
    </row>
    <row r="248" spans="1:27" ht="18" customHeight="1" x14ac:dyDescent="0.3">
      <c r="A248" s="57"/>
      <c r="B248" s="40" t="s">
        <v>446</v>
      </c>
      <c r="C248" s="55"/>
      <c r="D248" s="62"/>
      <c r="E248" s="21">
        <v>18000000</v>
      </c>
      <c r="F248" s="21">
        <v>18000000</v>
      </c>
      <c r="G248" s="21"/>
      <c r="H248" s="32"/>
      <c r="I248" s="21"/>
      <c r="J248" s="22"/>
      <c r="K248" s="29"/>
      <c r="L248" s="21">
        <f t="shared" si="181"/>
        <v>18000000</v>
      </c>
      <c r="M248" s="29">
        <f t="shared" si="155"/>
        <v>100</v>
      </c>
      <c r="N248" s="14">
        <f t="shared" si="182"/>
        <v>18000000</v>
      </c>
      <c r="O248" s="30">
        <f t="shared" si="183"/>
        <v>100</v>
      </c>
      <c r="Q248" s="47"/>
      <c r="R248" s="47"/>
      <c r="S248" s="47"/>
      <c r="T248" s="47"/>
      <c r="U248" s="56"/>
      <c r="V248" s="47"/>
      <c r="W248" s="47"/>
      <c r="X248" s="47"/>
      <c r="Y248" s="47"/>
      <c r="Z248" s="47"/>
      <c r="AA248" s="47"/>
    </row>
    <row r="249" spans="1:27" ht="18" customHeight="1" x14ac:dyDescent="0.3">
      <c r="A249" s="57"/>
      <c r="B249" s="40" t="s">
        <v>447</v>
      </c>
      <c r="C249" s="55"/>
      <c r="D249" s="62"/>
      <c r="E249" s="21">
        <v>18000000</v>
      </c>
      <c r="F249" s="21">
        <v>0</v>
      </c>
      <c r="G249" s="21">
        <v>0</v>
      </c>
      <c r="H249" s="32">
        <v>0</v>
      </c>
      <c r="I249" s="21">
        <v>0</v>
      </c>
      <c r="J249" s="22">
        <f t="shared" si="171"/>
        <v>0</v>
      </c>
      <c r="K249" s="29">
        <v>0</v>
      </c>
      <c r="L249" s="21">
        <f t="shared" si="181"/>
        <v>0</v>
      </c>
      <c r="M249" s="29">
        <v>0</v>
      </c>
      <c r="N249" s="14">
        <f t="shared" si="182"/>
        <v>18000000</v>
      </c>
      <c r="O249" s="30">
        <f t="shared" si="183"/>
        <v>100</v>
      </c>
      <c r="Q249" s="47"/>
      <c r="R249" s="47"/>
      <c r="S249" s="47"/>
      <c r="T249" s="47"/>
      <c r="U249" s="56"/>
      <c r="V249" s="47"/>
      <c r="W249" s="47"/>
      <c r="X249" s="47"/>
      <c r="Y249" s="47"/>
      <c r="Z249" s="47"/>
      <c r="AA249" s="47"/>
    </row>
    <row r="250" spans="1:27" ht="18" customHeight="1" x14ac:dyDescent="0.3">
      <c r="A250" s="57"/>
      <c r="B250" s="40" t="s">
        <v>444</v>
      </c>
      <c r="C250" s="55"/>
      <c r="D250" s="62"/>
      <c r="E250" s="21">
        <v>600000000</v>
      </c>
      <c r="F250" s="21">
        <v>0</v>
      </c>
      <c r="G250" s="21">
        <v>0</v>
      </c>
      <c r="H250" s="32">
        <v>0</v>
      </c>
      <c r="I250" s="21">
        <v>0</v>
      </c>
      <c r="J250" s="22">
        <f t="shared" si="171"/>
        <v>0</v>
      </c>
      <c r="K250" s="29">
        <v>0</v>
      </c>
      <c r="L250" s="21">
        <f t="shared" si="181"/>
        <v>0</v>
      </c>
      <c r="M250" s="29">
        <v>0</v>
      </c>
      <c r="N250" s="14">
        <f t="shared" si="182"/>
        <v>600000000</v>
      </c>
      <c r="O250" s="30">
        <f t="shared" si="183"/>
        <v>100</v>
      </c>
      <c r="Q250" s="47"/>
      <c r="R250" s="47"/>
      <c r="S250" s="47"/>
      <c r="T250" s="47"/>
      <c r="U250" s="56"/>
      <c r="V250" s="47"/>
      <c r="W250" s="47"/>
      <c r="X250" s="47"/>
      <c r="Y250" s="47"/>
      <c r="Z250" s="47"/>
      <c r="AA250" s="47"/>
    </row>
    <row r="251" spans="1:27" ht="25.2" customHeight="1" x14ac:dyDescent="0.3">
      <c r="A251" s="57"/>
      <c r="B251" s="13"/>
      <c r="C251" s="12"/>
      <c r="D251" s="15"/>
      <c r="E251" s="14"/>
      <c r="F251" s="14"/>
      <c r="G251" s="19"/>
      <c r="H251" s="28"/>
      <c r="I251" s="19"/>
      <c r="J251" s="19"/>
      <c r="K251" s="28"/>
      <c r="L251" s="22"/>
      <c r="M251" s="32"/>
      <c r="N251" s="19"/>
      <c r="O251" s="28"/>
      <c r="Q251" s="47"/>
      <c r="R251" s="47"/>
      <c r="S251" s="47"/>
      <c r="T251" s="47"/>
      <c r="U251" s="56"/>
      <c r="V251" s="47"/>
      <c r="W251" s="47"/>
      <c r="X251" s="47"/>
      <c r="Y251" s="47"/>
      <c r="Z251" s="47"/>
      <c r="AA251" s="47"/>
    </row>
    <row r="252" spans="1:27" ht="35.25" customHeight="1" x14ac:dyDescent="0.3">
      <c r="A252" s="86" t="s">
        <v>133</v>
      </c>
      <c r="B252" s="10" t="s">
        <v>81</v>
      </c>
      <c r="C252" s="4"/>
      <c r="D252" s="52"/>
      <c r="E252" s="16">
        <f>E253+E259+E264</f>
        <v>271954520</v>
      </c>
      <c r="F252" s="16">
        <f>F253+F259+F264</f>
        <v>64588630</v>
      </c>
      <c r="G252" s="16">
        <f>G253+G259+G264</f>
        <v>0</v>
      </c>
      <c r="H252" s="27">
        <f t="shared" si="102"/>
        <v>0</v>
      </c>
      <c r="I252" s="16">
        <f>I253+I259+I264</f>
        <v>27996586</v>
      </c>
      <c r="J252" s="16">
        <f>G252+I252</f>
        <v>27996586</v>
      </c>
      <c r="K252" s="27">
        <f t="shared" si="137"/>
        <v>43.345997585023866</v>
      </c>
      <c r="L252" s="37">
        <f t="shared" ref="L252:L262" si="184">F252-J252</f>
        <v>36592044</v>
      </c>
      <c r="M252" s="41">
        <f t="shared" ref="M252:M262" si="185">L252/F252*100</f>
        <v>56.654002414976134</v>
      </c>
      <c r="N252" s="16">
        <f t="shared" si="172"/>
        <v>243957934</v>
      </c>
      <c r="O252" s="27">
        <f t="shared" si="173"/>
        <v>89.705416185029762</v>
      </c>
      <c r="P252" s="80"/>
      <c r="Q252" s="47"/>
      <c r="R252" s="47"/>
      <c r="S252" s="47"/>
      <c r="T252" s="47"/>
      <c r="U252" s="56"/>
      <c r="V252" s="47"/>
      <c r="W252" s="47"/>
      <c r="X252" s="47"/>
      <c r="Y252" s="47"/>
      <c r="Z252" s="47"/>
      <c r="AA252" s="47"/>
    </row>
    <row r="253" spans="1:27" ht="34.799999999999997" customHeight="1" x14ac:dyDescent="0.3">
      <c r="A253" s="87" t="s">
        <v>134</v>
      </c>
      <c r="B253" s="11" t="s">
        <v>82</v>
      </c>
      <c r="C253" s="12" t="s">
        <v>164</v>
      </c>
      <c r="D253" s="15" t="s">
        <v>15</v>
      </c>
      <c r="E253" s="19">
        <f>SUM(E254:E257)</f>
        <v>27154520</v>
      </c>
      <c r="F253" s="19">
        <f>SUM(F254:F257)</f>
        <v>6788630</v>
      </c>
      <c r="G253" s="19">
        <f>SUM(G254:G257)</f>
        <v>0</v>
      </c>
      <c r="H253" s="28">
        <f t="shared" si="102"/>
        <v>0</v>
      </c>
      <c r="I253" s="19">
        <f>SUM(I254:I257)</f>
        <v>0</v>
      </c>
      <c r="J253" s="22">
        <f t="shared" ref="J253:J254" si="186">G253+I253</f>
        <v>0</v>
      </c>
      <c r="K253" s="28">
        <f t="shared" si="137"/>
        <v>0</v>
      </c>
      <c r="L253" s="22">
        <f t="shared" si="184"/>
        <v>6788630</v>
      </c>
      <c r="M253" s="32">
        <f t="shared" si="185"/>
        <v>100</v>
      </c>
      <c r="N253" s="22">
        <f t="shared" si="172"/>
        <v>27154520</v>
      </c>
      <c r="O253" s="32">
        <f t="shared" si="173"/>
        <v>100</v>
      </c>
      <c r="Q253" s="47"/>
      <c r="R253" s="47"/>
      <c r="S253" s="47"/>
      <c r="T253" s="47"/>
      <c r="U253" s="56"/>
      <c r="V253" s="47"/>
      <c r="W253" s="47"/>
      <c r="X253" s="47"/>
      <c r="Y253" s="47"/>
      <c r="Z253" s="47"/>
      <c r="AA253" s="47"/>
    </row>
    <row r="254" spans="1:27" ht="33.6" customHeight="1" x14ac:dyDescent="0.3">
      <c r="A254" s="39" t="s">
        <v>28</v>
      </c>
      <c r="B254" s="40" t="s">
        <v>29</v>
      </c>
      <c r="C254" s="55"/>
      <c r="D254" s="62"/>
      <c r="E254" s="21">
        <v>5953020</v>
      </c>
      <c r="F254" s="92">
        <v>1488255</v>
      </c>
      <c r="G254" s="21">
        <v>0</v>
      </c>
      <c r="H254" s="30">
        <f t="shared" si="102"/>
        <v>0</v>
      </c>
      <c r="I254" s="21">
        <v>0</v>
      </c>
      <c r="J254" s="21">
        <f t="shared" si="186"/>
        <v>0</v>
      </c>
      <c r="K254" s="30">
        <f t="shared" si="137"/>
        <v>0</v>
      </c>
      <c r="L254" s="21">
        <f t="shared" si="184"/>
        <v>1488255</v>
      </c>
      <c r="M254" s="29">
        <f t="shared" si="185"/>
        <v>100</v>
      </c>
      <c r="N254" s="21">
        <f t="shared" si="172"/>
        <v>5953020</v>
      </c>
      <c r="O254" s="29">
        <f t="shared" si="173"/>
        <v>100</v>
      </c>
      <c r="Q254" s="47"/>
      <c r="R254" s="47"/>
      <c r="S254" s="47"/>
      <c r="T254" s="47"/>
      <c r="U254" s="56"/>
      <c r="V254" s="47"/>
      <c r="W254" s="47"/>
      <c r="X254" s="47"/>
      <c r="Y254" s="47"/>
      <c r="Z254" s="47"/>
      <c r="AA254" s="47"/>
    </row>
    <row r="255" spans="1:27" ht="28.2" customHeight="1" x14ac:dyDescent="0.3">
      <c r="A255" s="39" t="s">
        <v>311</v>
      </c>
      <c r="B255" s="40" t="s">
        <v>315</v>
      </c>
      <c r="C255" s="12"/>
      <c r="D255" s="15"/>
      <c r="E255" s="21">
        <v>14001500</v>
      </c>
      <c r="F255" s="92">
        <v>3500375</v>
      </c>
      <c r="G255" s="21">
        <v>0</v>
      </c>
      <c r="H255" s="30">
        <f t="shared" ref="H255:H326" si="187">G255/F255*100</f>
        <v>0</v>
      </c>
      <c r="I255" s="21">
        <v>0</v>
      </c>
      <c r="J255" s="14">
        <f t="shared" si="171"/>
        <v>0</v>
      </c>
      <c r="K255" s="30">
        <f t="shared" si="137"/>
        <v>0</v>
      </c>
      <c r="L255" s="21">
        <f t="shared" si="184"/>
        <v>3500375</v>
      </c>
      <c r="M255" s="29">
        <f t="shared" si="185"/>
        <v>100</v>
      </c>
      <c r="N255" s="14">
        <f t="shared" si="172"/>
        <v>14001500</v>
      </c>
      <c r="O255" s="30">
        <f t="shared" si="173"/>
        <v>100</v>
      </c>
      <c r="Q255" s="47"/>
      <c r="R255" s="47"/>
      <c r="S255" s="47"/>
      <c r="T255" s="47"/>
      <c r="U255" s="56"/>
      <c r="V255" s="47"/>
      <c r="W255" s="47"/>
      <c r="X255" s="47"/>
      <c r="Y255" s="47"/>
      <c r="Z255" s="47"/>
      <c r="AA255" s="47"/>
    </row>
    <row r="256" spans="1:27" ht="31.2" customHeight="1" x14ac:dyDescent="0.3">
      <c r="A256" s="39" t="s">
        <v>312</v>
      </c>
      <c r="B256" s="40" t="s">
        <v>313</v>
      </c>
      <c r="C256" s="55"/>
      <c r="D256" s="62"/>
      <c r="E256" s="21">
        <v>6600000</v>
      </c>
      <c r="F256" s="92">
        <v>1650000</v>
      </c>
      <c r="G256" s="21">
        <v>0</v>
      </c>
      <c r="H256" s="30">
        <f t="shared" si="187"/>
        <v>0</v>
      </c>
      <c r="I256" s="21">
        <v>0</v>
      </c>
      <c r="J256" s="21">
        <f t="shared" si="171"/>
        <v>0</v>
      </c>
      <c r="K256" s="30">
        <f t="shared" si="137"/>
        <v>0</v>
      </c>
      <c r="L256" s="21">
        <f t="shared" si="184"/>
        <v>1650000</v>
      </c>
      <c r="M256" s="29">
        <f t="shared" si="185"/>
        <v>100</v>
      </c>
      <c r="N256" s="21">
        <f t="shared" si="172"/>
        <v>6600000</v>
      </c>
      <c r="O256" s="29">
        <f t="shared" si="173"/>
        <v>100</v>
      </c>
      <c r="Q256" s="47"/>
      <c r="R256" s="47"/>
      <c r="S256" s="47"/>
      <c r="T256" s="47"/>
      <c r="U256" s="56"/>
      <c r="V256" s="47"/>
      <c r="W256" s="47"/>
      <c r="X256" s="47"/>
      <c r="Y256" s="47"/>
      <c r="Z256" s="47"/>
      <c r="AA256" s="47"/>
    </row>
    <row r="257" spans="1:27" ht="21" customHeight="1" x14ac:dyDescent="0.3">
      <c r="A257" s="39" t="s">
        <v>281</v>
      </c>
      <c r="B257" s="40" t="s">
        <v>282</v>
      </c>
      <c r="C257" s="55"/>
      <c r="D257" s="62"/>
      <c r="E257" s="21">
        <v>600000</v>
      </c>
      <c r="F257" s="92">
        <v>150000</v>
      </c>
      <c r="G257" s="21">
        <v>0</v>
      </c>
      <c r="H257" s="30">
        <f t="shared" si="187"/>
        <v>0</v>
      </c>
      <c r="I257" s="21">
        <v>0</v>
      </c>
      <c r="J257" s="21">
        <f t="shared" si="171"/>
        <v>0</v>
      </c>
      <c r="K257" s="30">
        <f t="shared" si="137"/>
        <v>0</v>
      </c>
      <c r="L257" s="21">
        <f t="shared" si="184"/>
        <v>150000</v>
      </c>
      <c r="M257" s="29">
        <f t="shared" si="185"/>
        <v>100</v>
      </c>
      <c r="N257" s="21">
        <f t="shared" si="172"/>
        <v>600000</v>
      </c>
      <c r="O257" s="29">
        <f t="shared" si="173"/>
        <v>100</v>
      </c>
      <c r="Q257" s="47"/>
      <c r="R257" s="47"/>
      <c r="S257" s="47"/>
      <c r="T257" s="47"/>
      <c r="U257" s="56"/>
      <c r="V257" s="47"/>
      <c r="W257" s="47"/>
      <c r="X257" s="47"/>
      <c r="Y257" s="47"/>
      <c r="Z257" s="47"/>
      <c r="AA257" s="47"/>
    </row>
    <row r="258" spans="1:27" ht="21" customHeight="1" x14ac:dyDescent="0.3">
      <c r="A258" s="57"/>
      <c r="B258" s="13"/>
      <c r="C258" s="55"/>
      <c r="D258" s="62"/>
      <c r="E258" s="14"/>
      <c r="F258" s="14"/>
      <c r="G258" s="21"/>
      <c r="H258" s="30"/>
      <c r="I258" s="21"/>
      <c r="J258" s="21"/>
      <c r="K258" s="30"/>
      <c r="L258" s="21"/>
      <c r="M258" s="29"/>
      <c r="N258" s="21"/>
      <c r="O258" s="29"/>
      <c r="Q258" s="47"/>
      <c r="R258" s="47"/>
      <c r="S258" s="47"/>
      <c r="T258" s="47"/>
      <c r="U258" s="56"/>
      <c r="V258" s="47"/>
      <c r="W258" s="47"/>
      <c r="X258" s="47"/>
      <c r="Y258" s="47"/>
      <c r="Z258" s="47"/>
      <c r="AA258" s="47"/>
    </row>
    <row r="259" spans="1:27" ht="34.799999999999997" customHeight="1" x14ac:dyDescent="0.3">
      <c r="A259" s="87" t="s">
        <v>135</v>
      </c>
      <c r="B259" s="11" t="s">
        <v>83</v>
      </c>
      <c r="C259" s="12" t="s">
        <v>164</v>
      </c>
      <c r="D259" s="15" t="s">
        <v>15</v>
      </c>
      <c r="E259" s="19">
        <f>SUM(E260:E262)</f>
        <v>204000000</v>
      </c>
      <c r="F259" s="19">
        <f>SUM(F260:F262)</f>
        <v>51000000</v>
      </c>
      <c r="G259" s="19">
        <f>SUM(G260:G262)</f>
        <v>0</v>
      </c>
      <c r="H259" s="28">
        <f t="shared" si="187"/>
        <v>0</v>
      </c>
      <c r="I259" s="19">
        <f>SUM(I260:I262)</f>
        <v>21996586</v>
      </c>
      <c r="J259" s="22">
        <f t="shared" ref="J259:J260" si="188">G259+I259</f>
        <v>21996586</v>
      </c>
      <c r="K259" s="28">
        <f t="shared" si="137"/>
        <v>43.13056078431373</v>
      </c>
      <c r="L259" s="22">
        <f t="shared" si="184"/>
        <v>29003414</v>
      </c>
      <c r="M259" s="32">
        <f t="shared" si="185"/>
        <v>56.869439215686278</v>
      </c>
      <c r="N259" s="22">
        <f t="shared" ref="N259:N260" si="189">E259-J259</f>
        <v>182003414</v>
      </c>
      <c r="O259" s="32">
        <f t="shared" ref="O259:O260" si="190">N259/E259*100</f>
        <v>89.217359803921568</v>
      </c>
      <c r="Q259" s="47"/>
      <c r="R259" s="47"/>
      <c r="S259" s="47"/>
      <c r="T259" s="47"/>
      <c r="U259" s="56"/>
      <c r="V259" s="47"/>
      <c r="W259" s="47"/>
      <c r="X259" s="47"/>
      <c r="Y259" s="47"/>
      <c r="Z259" s="47"/>
      <c r="AA259" s="47"/>
    </row>
    <row r="260" spans="1:27" ht="22.8" customHeight="1" x14ac:dyDescent="0.3">
      <c r="A260" s="39" t="s">
        <v>84</v>
      </c>
      <c r="B260" s="64" t="s">
        <v>85</v>
      </c>
      <c r="C260" s="55"/>
      <c r="D260" s="62"/>
      <c r="E260" s="21">
        <v>6000000</v>
      </c>
      <c r="F260" s="93">
        <v>1500000</v>
      </c>
      <c r="G260" s="21">
        <v>0</v>
      </c>
      <c r="H260" s="29">
        <f t="shared" si="187"/>
        <v>0</v>
      </c>
      <c r="I260" s="21">
        <f>127750+89750</f>
        <v>217500</v>
      </c>
      <c r="J260" s="21">
        <f t="shared" si="188"/>
        <v>217500</v>
      </c>
      <c r="K260" s="29">
        <f t="shared" si="137"/>
        <v>14.499999999999998</v>
      </c>
      <c r="L260" s="21">
        <f t="shared" si="184"/>
        <v>1282500</v>
      </c>
      <c r="M260" s="29">
        <f t="shared" si="185"/>
        <v>85.5</v>
      </c>
      <c r="N260" s="21">
        <f t="shared" si="189"/>
        <v>5782500</v>
      </c>
      <c r="O260" s="29">
        <f t="shared" si="190"/>
        <v>96.375</v>
      </c>
      <c r="Q260" s="47"/>
      <c r="R260" s="47"/>
      <c r="S260" s="47"/>
      <c r="T260" s="47"/>
      <c r="U260" s="56"/>
      <c r="V260" s="47"/>
      <c r="W260" s="47"/>
      <c r="X260" s="47"/>
      <c r="Y260" s="47"/>
      <c r="Z260" s="47"/>
      <c r="AA260" s="47"/>
    </row>
    <row r="261" spans="1:27" ht="27" customHeight="1" x14ac:dyDescent="0.3">
      <c r="A261" s="39" t="s">
        <v>86</v>
      </c>
      <c r="B261" s="64" t="s">
        <v>87</v>
      </c>
      <c r="C261" s="55"/>
      <c r="D261" s="62"/>
      <c r="E261" s="21">
        <v>132000000</v>
      </c>
      <c r="F261" s="93">
        <v>33000000</v>
      </c>
      <c r="G261" s="21">
        <v>0</v>
      </c>
      <c r="H261" s="29">
        <f t="shared" si="187"/>
        <v>0</v>
      </c>
      <c r="I261" s="21">
        <f>20107255+1671831</f>
        <v>21779086</v>
      </c>
      <c r="J261" s="21">
        <f t="shared" si="171"/>
        <v>21779086</v>
      </c>
      <c r="K261" s="29">
        <f t="shared" si="137"/>
        <v>65.997230303030307</v>
      </c>
      <c r="L261" s="21">
        <f t="shared" si="184"/>
        <v>11220914</v>
      </c>
      <c r="M261" s="29">
        <f t="shared" si="185"/>
        <v>34.0027696969697</v>
      </c>
      <c r="N261" s="21">
        <f t="shared" si="172"/>
        <v>110220914</v>
      </c>
      <c r="O261" s="29">
        <f t="shared" si="173"/>
        <v>83.50069242424243</v>
      </c>
      <c r="Q261" s="47"/>
      <c r="R261" s="47"/>
      <c r="S261" s="47"/>
      <c r="T261" s="47"/>
      <c r="U261" s="56"/>
      <c r="V261" s="47"/>
      <c r="W261" s="47"/>
      <c r="X261" s="47"/>
      <c r="Y261" s="47"/>
      <c r="Z261" s="47"/>
      <c r="AA261" s="47"/>
    </row>
    <row r="262" spans="1:27" ht="25.2" customHeight="1" x14ac:dyDescent="0.3">
      <c r="A262" s="39" t="s">
        <v>283</v>
      </c>
      <c r="B262" s="64" t="s">
        <v>88</v>
      </c>
      <c r="C262" s="55"/>
      <c r="D262" s="62"/>
      <c r="E262" s="21">
        <v>66000000</v>
      </c>
      <c r="F262" s="93">
        <v>16500000</v>
      </c>
      <c r="G262" s="21">
        <v>0</v>
      </c>
      <c r="H262" s="29">
        <f t="shared" si="187"/>
        <v>0</v>
      </c>
      <c r="I262" s="21">
        <v>0</v>
      </c>
      <c r="J262" s="21">
        <f t="shared" si="171"/>
        <v>0</v>
      </c>
      <c r="K262" s="29">
        <f t="shared" si="137"/>
        <v>0</v>
      </c>
      <c r="L262" s="21">
        <f t="shared" si="184"/>
        <v>16500000</v>
      </c>
      <c r="M262" s="29">
        <f t="shared" si="185"/>
        <v>100</v>
      </c>
      <c r="N262" s="21">
        <f t="shared" si="172"/>
        <v>66000000</v>
      </c>
      <c r="O262" s="29">
        <f t="shared" si="173"/>
        <v>100</v>
      </c>
      <c r="Q262" s="47"/>
      <c r="R262" s="47"/>
      <c r="S262" s="47"/>
      <c r="T262" s="47"/>
      <c r="U262" s="56"/>
      <c r="V262" s="47"/>
      <c r="W262" s="47"/>
      <c r="X262" s="47"/>
      <c r="Y262" s="47"/>
      <c r="Z262" s="47"/>
      <c r="AA262" s="47"/>
    </row>
    <row r="263" spans="1:27" ht="18" customHeight="1" x14ac:dyDescent="0.3">
      <c r="A263" s="87"/>
      <c r="B263" s="11"/>
      <c r="C263" s="55"/>
      <c r="D263" s="62"/>
      <c r="E263" s="14"/>
      <c r="F263" s="14"/>
      <c r="G263" s="21"/>
      <c r="H263" s="30"/>
      <c r="I263" s="21"/>
      <c r="J263" s="21"/>
      <c r="K263" s="28"/>
      <c r="L263" s="21"/>
      <c r="M263" s="29"/>
      <c r="N263" s="21"/>
      <c r="O263" s="30"/>
      <c r="Q263" s="47"/>
      <c r="R263" s="47"/>
      <c r="S263" s="47"/>
      <c r="T263" s="47"/>
      <c r="U263" s="56"/>
      <c r="V263" s="47"/>
      <c r="W263" s="47"/>
      <c r="X263" s="47"/>
      <c r="Y263" s="47"/>
      <c r="Z263" s="47"/>
      <c r="AA263" s="47"/>
    </row>
    <row r="264" spans="1:27" ht="35.4" customHeight="1" x14ac:dyDescent="0.3">
      <c r="A264" s="87" t="s">
        <v>136</v>
      </c>
      <c r="B264" s="11" t="s">
        <v>89</v>
      </c>
      <c r="C264" s="12" t="s">
        <v>164</v>
      </c>
      <c r="D264" s="15" t="s">
        <v>15</v>
      </c>
      <c r="E264" s="19">
        <f>SUM(E265:E267)</f>
        <v>40800000</v>
      </c>
      <c r="F264" s="19">
        <f>SUM(F265:F267)</f>
        <v>6800000</v>
      </c>
      <c r="G264" s="19">
        <f>SUM(G265:G267)</f>
        <v>0</v>
      </c>
      <c r="H264" s="28">
        <f t="shared" si="187"/>
        <v>0</v>
      </c>
      <c r="I264" s="19">
        <f>SUM(I265:I267)</f>
        <v>6000000</v>
      </c>
      <c r="J264" s="19">
        <f t="shared" ref="J264" si="191">G264+I264</f>
        <v>6000000</v>
      </c>
      <c r="K264" s="28">
        <f t="shared" ref="K264" si="192">J264/F264*100</f>
        <v>88.235294117647058</v>
      </c>
      <c r="L264" s="19">
        <f>F264-J264</f>
        <v>800000</v>
      </c>
      <c r="M264" s="28">
        <f>L264/F264*100</f>
        <v>11.76470588235294</v>
      </c>
      <c r="N264" s="19">
        <f t="shared" ref="N264" si="193">E264-J264</f>
        <v>34800000</v>
      </c>
      <c r="O264" s="28">
        <f t="shared" ref="O264" si="194">N264/E264*100</f>
        <v>85.294117647058826</v>
      </c>
      <c r="P264" s="71"/>
      <c r="Q264" s="47"/>
      <c r="R264" s="47"/>
      <c r="S264" s="47"/>
      <c r="T264" s="47"/>
      <c r="U264" s="56"/>
      <c r="V264" s="47"/>
      <c r="W264" s="47"/>
      <c r="X264" s="47"/>
      <c r="Y264" s="47"/>
      <c r="Z264" s="47"/>
      <c r="AA264" s="47"/>
    </row>
    <row r="265" spans="1:27" ht="23.4" customHeight="1" x14ac:dyDescent="0.3">
      <c r="A265" s="39" t="s">
        <v>284</v>
      </c>
      <c r="B265" s="64" t="s">
        <v>97</v>
      </c>
      <c r="C265" s="55"/>
      <c r="D265" s="62"/>
      <c r="E265" s="21">
        <v>4800000</v>
      </c>
      <c r="F265" s="93">
        <v>800000</v>
      </c>
      <c r="G265" s="21">
        <v>0</v>
      </c>
      <c r="H265" s="29">
        <f t="shared" si="187"/>
        <v>0</v>
      </c>
      <c r="I265" s="21">
        <v>0</v>
      </c>
      <c r="J265" s="21">
        <f t="shared" si="171"/>
        <v>0</v>
      </c>
      <c r="K265" s="29">
        <f t="shared" si="137"/>
        <v>0</v>
      </c>
      <c r="L265" s="21">
        <f>F265-J265</f>
        <v>800000</v>
      </c>
      <c r="M265" s="29">
        <f>L265/F265*100</f>
        <v>100</v>
      </c>
      <c r="N265" s="21">
        <f t="shared" si="172"/>
        <v>4800000</v>
      </c>
      <c r="O265" s="29">
        <f t="shared" si="173"/>
        <v>100</v>
      </c>
      <c r="P265" s="71"/>
      <c r="Q265" s="47"/>
      <c r="R265" s="47"/>
      <c r="S265" s="47"/>
      <c r="T265" s="47"/>
      <c r="U265" s="56"/>
      <c r="V265" s="47"/>
      <c r="W265" s="47"/>
      <c r="X265" s="47"/>
      <c r="Y265" s="47"/>
      <c r="Z265" s="47"/>
      <c r="AA265" s="47"/>
    </row>
    <row r="266" spans="1:27" ht="21" customHeight="1" x14ac:dyDescent="0.3">
      <c r="A266" s="39" t="s">
        <v>90</v>
      </c>
      <c r="B266" s="64" t="s">
        <v>92</v>
      </c>
      <c r="C266" s="55"/>
      <c r="D266" s="62"/>
      <c r="E266" s="21">
        <v>15000000</v>
      </c>
      <c r="F266" s="93">
        <v>2500000</v>
      </c>
      <c r="G266" s="21">
        <v>0</v>
      </c>
      <c r="H266" s="29">
        <f t="shared" si="187"/>
        <v>0</v>
      </c>
      <c r="I266" s="21">
        <f>2500000</f>
        <v>2500000</v>
      </c>
      <c r="J266" s="21">
        <f t="shared" si="171"/>
        <v>2500000</v>
      </c>
      <c r="K266" s="29">
        <f t="shared" si="137"/>
        <v>100</v>
      </c>
      <c r="L266" s="21">
        <f t="shared" ref="L266:L267" si="195">F266-J266</f>
        <v>0</v>
      </c>
      <c r="M266" s="29">
        <f t="shared" ref="M266:M274" si="196">L266/F266*100</f>
        <v>0</v>
      </c>
      <c r="N266" s="21">
        <f>E266-J266</f>
        <v>12500000</v>
      </c>
      <c r="O266" s="29">
        <f t="shared" si="173"/>
        <v>83.333333333333343</v>
      </c>
      <c r="P266" s="71"/>
      <c r="Q266" s="47"/>
      <c r="R266" s="47"/>
      <c r="S266" s="47"/>
      <c r="T266" s="47"/>
      <c r="U266" s="56"/>
      <c r="V266" s="47"/>
      <c r="W266" s="47"/>
      <c r="X266" s="47"/>
      <c r="Y266" s="47"/>
      <c r="Z266" s="47"/>
      <c r="AA266" s="47"/>
    </row>
    <row r="267" spans="1:27" ht="21.6" customHeight="1" x14ac:dyDescent="0.3">
      <c r="A267" s="39" t="s">
        <v>91</v>
      </c>
      <c r="B267" s="64" t="s">
        <v>93</v>
      </c>
      <c r="C267" s="55"/>
      <c r="D267" s="72"/>
      <c r="E267" s="21">
        <v>21000000</v>
      </c>
      <c r="F267" s="93">
        <v>3500000</v>
      </c>
      <c r="G267" s="21">
        <v>0</v>
      </c>
      <c r="H267" s="29">
        <f t="shared" si="187"/>
        <v>0</v>
      </c>
      <c r="I267" s="21">
        <f>3500000</f>
        <v>3500000</v>
      </c>
      <c r="J267" s="21">
        <f t="shared" si="171"/>
        <v>3500000</v>
      </c>
      <c r="K267" s="29">
        <f t="shared" si="137"/>
        <v>100</v>
      </c>
      <c r="L267" s="21">
        <f t="shared" si="195"/>
        <v>0</v>
      </c>
      <c r="M267" s="29">
        <f t="shared" si="196"/>
        <v>0</v>
      </c>
      <c r="N267" s="21">
        <f t="shared" si="172"/>
        <v>17500000</v>
      </c>
      <c r="O267" s="29">
        <f t="shared" si="173"/>
        <v>83.333333333333343</v>
      </c>
      <c r="P267" s="71"/>
      <c r="Q267" s="47"/>
      <c r="R267" s="47"/>
      <c r="S267" s="47"/>
      <c r="T267" s="47"/>
      <c r="U267" s="56"/>
      <c r="V267" s="47"/>
      <c r="W267" s="47"/>
      <c r="X267" s="47"/>
      <c r="Y267" s="47"/>
      <c r="Z267" s="47"/>
      <c r="AA267" s="47"/>
    </row>
    <row r="268" spans="1:27" ht="18" customHeight="1" x14ac:dyDescent="0.3">
      <c r="A268" s="57"/>
      <c r="B268" s="13"/>
      <c r="C268" s="12"/>
      <c r="D268" s="15"/>
      <c r="E268" s="14"/>
      <c r="F268" s="14"/>
      <c r="G268" s="14"/>
      <c r="H268" s="30"/>
      <c r="I268" s="14"/>
      <c r="J268" s="14"/>
      <c r="K268" s="30"/>
      <c r="L268" s="21"/>
      <c r="M268" s="29"/>
      <c r="N268" s="14"/>
      <c r="O268" s="30"/>
      <c r="P268" s="71"/>
      <c r="Q268" s="47"/>
      <c r="R268" s="47"/>
      <c r="S268" s="47"/>
      <c r="T268" s="47"/>
      <c r="U268" s="56"/>
      <c r="V268" s="47"/>
      <c r="W268" s="47"/>
      <c r="X268" s="47"/>
      <c r="Y268" s="47"/>
      <c r="Z268" s="47"/>
      <c r="AA268" s="47"/>
    </row>
    <row r="269" spans="1:27" ht="43.2" customHeight="1" x14ac:dyDescent="0.3">
      <c r="A269" s="86" t="s">
        <v>137</v>
      </c>
      <c r="B269" s="10" t="s">
        <v>66</v>
      </c>
      <c r="C269" s="4"/>
      <c r="D269" s="52"/>
      <c r="E269" s="16">
        <f>E270+E273+E277</f>
        <v>190780000</v>
      </c>
      <c r="F269" s="16">
        <f>F270+F273+F277</f>
        <v>49695000</v>
      </c>
      <c r="G269" s="16">
        <f>G270+G273+G277</f>
        <v>0</v>
      </c>
      <c r="H269" s="27">
        <f>G269/F269*100</f>
        <v>0</v>
      </c>
      <c r="I269" s="16">
        <f>I270+I273+I277</f>
        <v>0</v>
      </c>
      <c r="J269" s="16">
        <f>G269+I269</f>
        <v>0</v>
      </c>
      <c r="K269" s="27">
        <f>J269/F269*100</f>
        <v>0</v>
      </c>
      <c r="L269" s="16">
        <f>F269-J269</f>
        <v>49695000</v>
      </c>
      <c r="M269" s="27">
        <f>L269/F269*100</f>
        <v>100</v>
      </c>
      <c r="N269" s="16">
        <f>E269-J269</f>
        <v>190780000</v>
      </c>
      <c r="O269" s="27">
        <f>N269/E269*100</f>
        <v>100</v>
      </c>
      <c r="P269" s="98"/>
      <c r="Q269" s="47"/>
      <c r="R269" s="47"/>
      <c r="S269" s="47"/>
      <c r="T269" s="47"/>
      <c r="U269" s="56"/>
      <c r="V269" s="47"/>
      <c r="W269" s="47"/>
      <c r="X269" s="47"/>
      <c r="Y269" s="47"/>
      <c r="Z269" s="47"/>
      <c r="AA269" s="47"/>
    </row>
    <row r="270" spans="1:27" ht="48.6" customHeight="1" x14ac:dyDescent="0.3">
      <c r="A270" s="87" t="s">
        <v>138</v>
      </c>
      <c r="B270" s="11" t="s">
        <v>139</v>
      </c>
      <c r="C270" s="12" t="s">
        <v>164</v>
      </c>
      <c r="D270" s="15" t="s">
        <v>15</v>
      </c>
      <c r="E270" s="19">
        <f>E271</f>
        <v>54920000</v>
      </c>
      <c r="F270" s="19">
        <f>F271</f>
        <v>13730000</v>
      </c>
      <c r="G270" s="19">
        <f>G271</f>
        <v>0</v>
      </c>
      <c r="H270" s="28">
        <f t="shared" si="187"/>
        <v>0</v>
      </c>
      <c r="I270" s="19">
        <f>I271</f>
        <v>0</v>
      </c>
      <c r="J270" s="19">
        <f>G270+I270</f>
        <v>0</v>
      </c>
      <c r="K270" s="28">
        <f t="shared" si="137"/>
        <v>0</v>
      </c>
      <c r="L270" s="22">
        <f t="shared" ref="L270:L271" si="197">F270-J270</f>
        <v>13730000</v>
      </c>
      <c r="M270" s="32">
        <f t="shared" si="196"/>
        <v>100</v>
      </c>
      <c r="N270" s="19">
        <f t="shared" si="172"/>
        <v>54920000</v>
      </c>
      <c r="O270" s="28">
        <f t="shared" si="173"/>
        <v>100</v>
      </c>
      <c r="P270" s="71"/>
      <c r="Q270" s="47"/>
      <c r="R270" s="47"/>
      <c r="S270" s="47"/>
      <c r="T270" s="47"/>
      <c r="U270" s="56"/>
      <c r="V270" s="47"/>
      <c r="W270" s="47"/>
      <c r="X270" s="47"/>
      <c r="Y270" s="47"/>
      <c r="Z270" s="47"/>
      <c r="AA270" s="47"/>
    </row>
    <row r="271" spans="1:27" ht="33.6" customHeight="1" x14ac:dyDescent="0.3">
      <c r="A271" s="39" t="s">
        <v>67</v>
      </c>
      <c r="B271" s="40" t="s">
        <v>68</v>
      </c>
      <c r="C271" s="55"/>
      <c r="D271" s="62"/>
      <c r="E271" s="21">
        <v>54920000</v>
      </c>
      <c r="F271" s="93">
        <v>13730000</v>
      </c>
      <c r="G271" s="21">
        <v>0</v>
      </c>
      <c r="H271" s="29">
        <f t="shared" si="187"/>
        <v>0</v>
      </c>
      <c r="I271" s="21">
        <v>0</v>
      </c>
      <c r="J271" s="21">
        <f t="shared" si="171"/>
        <v>0</v>
      </c>
      <c r="K271" s="29">
        <f t="shared" si="137"/>
        <v>0</v>
      </c>
      <c r="L271" s="21">
        <f t="shared" si="197"/>
        <v>13730000</v>
      </c>
      <c r="M271" s="29">
        <f t="shared" si="196"/>
        <v>100</v>
      </c>
      <c r="N271" s="21">
        <f t="shared" si="172"/>
        <v>54920000</v>
      </c>
      <c r="O271" s="29">
        <f t="shared" si="173"/>
        <v>100</v>
      </c>
      <c r="P271" s="71"/>
      <c r="Q271" s="47"/>
      <c r="R271" s="47"/>
      <c r="S271" s="47"/>
      <c r="T271" s="47"/>
      <c r="U271" s="56"/>
      <c r="V271" s="47"/>
      <c r="W271" s="47"/>
      <c r="X271" s="47"/>
      <c r="Y271" s="47"/>
      <c r="Z271" s="47"/>
      <c r="AA271" s="47"/>
    </row>
    <row r="272" spans="1:27" ht="18" customHeight="1" x14ac:dyDescent="0.3">
      <c r="A272" s="57"/>
      <c r="B272" s="13"/>
      <c r="C272" s="12"/>
      <c r="D272" s="15"/>
      <c r="E272" s="14"/>
      <c r="F272" s="14"/>
      <c r="G272" s="14"/>
      <c r="H272" s="30"/>
      <c r="I272" s="14"/>
      <c r="J272" s="14"/>
      <c r="K272" s="30"/>
      <c r="L272" s="21"/>
      <c r="M272" s="29"/>
      <c r="N272" s="14"/>
      <c r="O272" s="30"/>
      <c r="P272" s="71"/>
      <c r="Q272" s="47"/>
      <c r="R272" s="47"/>
      <c r="S272" s="47"/>
      <c r="T272" s="47"/>
      <c r="U272" s="56"/>
      <c r="V272" s="47"/>
      <c r="W272" s="47"/>
      <c r="X272" s="47"/>
      <c r="Y272" s="47"/>
      <c r="Z272" s="47"/>
      <c r="AA272" s="47"/>
    </row>
    <row r="273" spans="1:27" ht="40.799999999999997" customHeight="1" x14ac:dyDescent="0.3">
      <c r="A273" s="87" t="s">
        <v>140</v>
      </c>
      <c r="B273" s="11" t="s">
        <v>69</v>
      </c>
      <c r="C273" s="12" t="s">
        <v>164</v>
      </c>
      <c r="D273" s="15" t="s">
        <v>15</v>
      </c>
      <c r="E273" s="19">
        <f>E274+E275</f>
        <v>64860000</v>
      </c>
      <c r="F273" s="19">
        <f>F274+F275</f>
        <v>4965000</v>
      </c>
      <c r="G273" s="19">
        <f>G274+G275</f>
        <v>0</v>
      </c>
      <c r="H273" s="28">
        <f t="shared" si="187"/>
        <v>0</v>
      </c>
      <c r="I273" s="19">
        <f>I274+I275</f>
        <v>0</v>
      </c>
      <c r="J273" s="19">
        <f t="shared" si="171"/>
        <v>0</v>
      </c>
      <c r="K273" s="28">
        <f t="shared" si="137"/>
        <v>0</v>
      </c>
      <c r="L273" s="22">
        <f t="shared" ref="L273:L275" si="198">F273-J273</f>
        <v>4965000</v>
      </c>
      <c r="M273" s="32">
        <f t="shared" si="196"/>
        <v>100</v>
      </c>
      <c r="N273" s="19">
        <f t="shared" si="172"/>
        <v>64860000</v>
      </c>
      <c r="O273" s="28">
        <f t="shared" si="173"/>
        <v>100</v>
      </c>
      <c r="P273" s="71"/>
      <c r="Q273" s="47"/>
      <c r="R273" s="47"/>
      <c r="S273" s="47"/>
      <c r="T273" s="47"/>
      <c r="U273" s="56"/>
      <c r="V273" s="47"/>
      <c r="W273" s="47"/>
      <c r="X273" s="47"/>
      <c r="Y273" s="47"/>
      <c r="Z273" s="47"/>
      <c r="AA273" s="47"/>
    </row>
    <row r="274" spans="1:27" ht="35.4" customHeight="1" x14ac:dyDescent="0.3">
      <c r="A274" s="39" t="s">
        <v>285</v>
      </c>
      <c r="B274" s="40" t="s">
        <v>286</v>
      </c>
      <c r="C274" s="55"/>
      <c r="D274" s="62"/>
      <c r="E274" s="21">
        <v>19860000</v>
      </c>
      <c r="F274" s="93">
        <v>4965000</v>
      </c>
      <c r="G274" s="21">
        <v>0</v>
      </c>
      <c r="H274" s="30">
        <f t="shared" si="187"/>
        <v>0</v>
      </c>
      <c r="I274" s="21">
        <v>0</v>
      </c>
      <c r="J274" s="21">
        <f t="shared" si="171"/>
        <v>0</v>
      </c>
      <c r="K274" s="29">
        <f t="shared" si="137"/>
        <v>0</v>
      </c>
      <c r="L274" s="21">
        <f t="shared" si="198"/>
        <v>4965000</v>
      </c>
      <c r="M274" s="29">
        <f t="shared" si="196"/>
        <v>100</v>
      </c>
      <c r="N274" s="21">
        <f t="shared" si="172"/>
        <v>19860000</v>
      </c>
      <c r="O274" s="29">
        <f t="shared" si="173"/>
        <v>100</v>
      </c>
      <c r="P274" s="71"/>
      <c r="Q274" s="47"/>
      <c r="R274" s="47"/>
      <c r="S274" s="47"/>
      <c r="T274" s="47"/>
      <c r="U274" s="56"/>
      <c r="V274" s="47"/>
      <c r="W274" s="47"/>
      <c r="X274" s="47"/>
      <c r="Y274" s="47"/>
      <c r="Z274" s="47"/>
      <c r="AA274" s="47"/>
    </row>
    <row r="275" spans="1:27" ht="31.5" customHeight="1" x14ac:dyDescent="0.3">
      <c r="A275" s="39" t="s">
        <v>287</v>
      </c>
      <c r="B275" s="40" t="s">
        <v>288</v>
      </c>
      <c r="C275" s="55"/>
      <c r="D275" s="62"/>
      <c r="E275" s="21">
        <v>45000000</v>
      </c>
      <c r="F275" s="21">
        <v>0</v>
      </c>
      <c r="G275" s="21">
        <v>0</v>
      </c>
      <c r="H275" s="29">
        <v>0</v>
      </c>
      <c r="I275" s="21">
        <v>0</v>
      </c>
      <c r="J275" s="21">
        <v>0</v>
      </c>
      <c r="K275" s="29">
        <v>0</v>
      </c>
      <c r="L275" s="21">
        <f t="shared" si="198"/>
        <v>0</v>
      </c>
      <c r="M275" s="29">
        <v>0</v>
      </c>
      <c r="N275" s="21">
        <f t="shared" si="172"/>
        <v>45000000</v>
      </c>
      <c r="O275" s="29">
        <f t="shared" si="173"/>
        <v>100</v>
      </c>
      <c r="P275" s="71"/>
      <c r="Q275" s="47"/>
      <c r="R275" s="47"/>
      <c r="S275" s="47"/>
      <c r="T275" s="47"/>
      <c r="U275" s="56"/>
      <c r="V275" s="47"/>
      <c r="W275" s="47"/>
      <c r="X275" s="47"/>
      <c r="Y275" s="47"/>
      <c r="Z275" s="47"/>
      <c r="AA275" s="47"/>
    </row>
    <row r="276" spans="1:27" ht="19.5" customHeight="1" x14ac:dyDescent="0.3">
      <c r="A276" s="91"/>
      <c r="B276" s="13"/>
      <c r="C276" s="55"/>
      <c r="D276" s="62"/>
      <c r="E276" s="14"/>
      <c r="F276" s="14"/>
      <c r="G276" s="21"/>
      <c r="H276" s="30"/>
      <c r="I276" s="21"/>
      <c r="J276" s="22"/>
      <c r="K276" s="28"/>
      <c r="L276" s="21"/>
      <c r="M276" s="29"/>
      <c r="N276" s="22"/>
      <c r="O276" s="32"/>
      <c r="P276" s="71"/>
      <c r="Q276" s="47"/>
      <c r="R276" s="47"/>
      <c r="S276" s="47"/>
      <c r="T276" s="47"/>
      <c r="U276" s="56"/>
      <c r="V276" s="47"/>
      <c r="W276" s="47"/>
      <c r="X276" s="47"/>
      <c r="Y276" s="47"/>
      <c r="Z276" s="47"/>
      <c r="AA276" s="47"/>
    </row>
    <row r="277" spans="1:27" ht="37.200000000000003" customHeight="1" x14ac:dyDescent="0.3">
      <c r="A277" s="87" t="s">
        <v>141</v>
      </c>
      <c r="B277" s="11" t="s">
        <v>70</v>
      </c>
      <c r="C277" s="12" t="s">
        <v>164</v>
      </c>
      <c r="D277" s="72" t="s">
        <v>15</v>
      </c>
      <c r="E277" s="19">
        <f>SUM(E278:E278)</f>
        <v>71000000</v>
      </c>
      <c r="F277" s="19">
        <f>SUM(F278:F278)</f>
        <v>31000000</v>
      </c>
      <c r="G277" s="19">
        <f>SUM(G278:G278)</f>
        <v>0</v>
      </c>
      <c r="H277" s="28">
        <f t="shared" si="187"/>
        <v>0</v>
      </c>
      <c r="I277" s="19">
        <f>SUM(I278:I278)</f>
        <v>0</v>
      </c>
      <c r="J277" s="22">
        <f t="shared" si="171"/>
        <v>0</v>
      </c>
      <c r="K277" s="32">
        <f t="shared" si="137"/>
        <v>0</v>
      </c>
      <c r="L277" s="22">
        <f t="shared" ref="L277:L278" si="199">F277-J277</f>
        <v>31000000</v>
      </c>
      <c r="M277" s="32">
        <f t="shared" ref="M277:M278" si="200">L277/F277*100</f>
        <v>100</v>
      </c>
      <c r="N277" s="22">
        <f t="shared" si="172"/>
        <v>71000000</v>
      </c>
      <c r="O277" s="32">
        <f t="shared" si="173"/>
        <v>100</v>
      </c>
      <c r="P277" s="71"/>
      <c r="Q277" s="47"/>
      <c r="R277" s="47"/>
      <c r="S277" s="47"/>
      <c r="T277" s="47"/>
      <c r="U277" s="56"/>
      <c r="V277" s="47"/>
      <c r="W277" s="47"/>
      <c r="X277" s="47"/>
      <c r="Y277" s="47"/>
      <c r="Z277" s="47"/>
      <c r="AA277" s="47"/>
    </row>
    <row r="278" spans="1:27" ht="31.8" customHeight="1" x14ac:dyDescent="0.3">
      <c r="A278" s="39" t="s">
        <v>71</v>
      </c>
      <c r="B278" s="40" t="s">
        <v>72</v>
      </c>
      <c r="C278" s="55"/>
      <c r="D278" s="72"/>
      <c r="E278" s="21">
        <v>71000000</v>
      </c>
      <c r="F278" s="21">
        <v>31000000</v>
      </c>
      <c r="G278" s="21">
        <v>0</v>
      </c>
      <c r="H278" s="30">
        <f t="shared" si="187"/>
        <v>0</v>
      </c>
      <c r="I278" s="21">
        <v>0</v>
      </c>
      <c r="J278" s="21">
        <f t="shared" si="171"/>
        <v>0</v>
      </c>
      <c r="K278" s="29">
        <f t="shared" si="137"/>
        <v>0</v>
      </c>
      <c r="L278" s="21">
        <f t="shared" si="199"/>
        <v>31000000</v>
      </c>
      <c r="M278" s="29">
        <f t="shared" si="200"/>
        <v>100</v>
      </c>
      <c r="N278" s="21">
        <f t="shared" si="172"/>
        <v>71000000</v>
      </c>
      <c r="O278" s="29">
        <f t="shared" si="173"/>
        <v>100</v>
      </c>
      <c r="P278" s="71"/>
      <c r="Q278" s="47"/>
      <c r="R278" s="47"/>
      <c r="S278" s="47"/>
      <c r="T278" s="47"/>
      <c r="U278" s="56"/>
      <c r="V278" s="47"/>
      <c r="W278" s="47"/>
      <c r="X278" s="47"/>
      <c r="Y278" s="47"/>
      <c r="Z278" s="47"/>
      <c r="AA278" s="47"/>
    </row>
    <row r="279" spans="1:27" ht="18" customHeight="1" x14ac:dyDescent="0.3">
      <c r="A279" s="91"/>
      <c r="B279" s="13"/>
      <c r="C279" s="12"/>
      <c r="D279" s="15"/>
      <c r="E279" s="14"/>
      <c r="F279" s="14"/>
      <c r="G279" s="14"/>
      <c r="H279" s="28"/>
      <c r="I279" s="14"/>
      <c r="J279" s="19"/>
      <c r="K279" s="28"/>
      <c r="L279" s="19"/>
      <c r="M279" s="28"/>
      <c r="N279" s="19"/>
      <c r="O279" s="28"/>
      <c r="P279" s="71"/>
      <c r="Q279" s="47"/>
      <c r="R279" s="47"/>
      <c r="S279" s="47"/>
      <c r="T279" s="47"/>
      <c r="U279" s="56"/>
      <c r="V279" s="47"/>
      <c r="W279" s="47"/>
      <c r="X279" s="47"/>
      <c r="Y279" s="47"/>
      <c r="Z279" s="47"/>
      <c r="AA279" s="47"/>
    </row>
    <row r="280" spans="1:27" ht="36.75" customHeight="1" x14ac:dyDescent="0.3">
      <c r="A280" s="85" t="s">
        <v>142</v>
      </c>
      <c r="B280" s="3" t="s">
        <v>143</v>
      </c>
      <c r="C280" s="3"/>
      <c r="D280" s="73"/>
      <c r="E280" s="17">
        <f>E281</f>
        <v>3296466000</v>
      </c>
      <c r="F280" s="17">
        <f>F281</f>
        <v>688217800</v>
      </c>
      <c r="G280" s="17">
        <f>G281</f>
        <v>0</v>
      </c>
      <c r="H280" s="26">
        <f t="shared" si="187"/>
        <v>0</v>
      </c>
      <c r="I280" s="17">
        <f>I281</f>
        <v>157697928</v>
      </c>
      <c r="J280" s="17">
        <f t="shared" si="171"/>
        <v>157697928</v>
      </c>
      <c r="K280" s="26">
        <f t="shared" si="137"/>
        <v>22.913956599204496</v>
      </c>
      <c r="L280" s="42">
        <f t="shared" ref="L280:L289" si="201">F280-J280</f>
        <v>530519872</v>
      </c>
      <c r="M280" s="26">
        <f>L280/F280*100</f>
        <v>77.086043400795504</v>
      </c>
      <c r="N280" s="17">
        <f t="shared" si="172"/>
        <v>3138768072</v>
      </c>
      <c r="O280" s="26">
        <f t="shared" si="173"/>
        <v>95.216151842609634</v>
      </c>
      <c r="P280" s="71"/>
      <c r="Q280" s="47"/>
      <c r="R280" s="47"/>
      <c r="S280" s="47"/>
      <c r="T280" s="47"/>
      <c r="U280" s="56"/>
      <c r="V280" s="47"/>
      <c r="W280" s="47"/>
      <c r="X280" s="47"/>
      <c r="Y280" s="47"/>
      <c r="Z280" s="47"/>
      <c r="AA280" s="47"/>
    </row>
    <row r="281" spans="1:27" ht="55.5" customHeight="1" x14ac:dyDescent="0.3">
      <c r="A281" s="86" t="s">
        <v>144</v>
      </c>
      <c r="B281" s="10" t="s">
        <v>145</v>
      </c>
      <c r="C281" s="4"/>
      <c r="D281" s="52"/>
      <c r="E281" s="16">
        <f>E282+E294+E307+E320+E332+E349+E362+E371+E383</f>
        <v>3296466000</v>
      </c>
      <c r="F281" s="16">
        <f>F282+F294+F307+F320+F332+F349+F362+F371+F383</f>
        <v>688217800</v>
      </c>
      <c r="G281" s="16">
        <f>G282+G294+G307+G320+G332+G349+G362+G371+G383</f>
        <v>0</v>
      </c>
      <c r="H281" s="27">
        <f t="shared" si="187"/>
        <v>0</v>
      </c>
      <c r="I281" s="16">
        <f>I282+I294+I307+I320+I332+I349+I362+I371+I383</f>
        <v>157697928</v>
      </c>
      <c r="J281" s="16">
        <f t="shared" si="171"/>
        <v>157697928</v>
      </c>
      <c r="K281" s="27">
        <f t="shared" si="137"/>
        <v>22.913956599204496</v>
      </c>
      <c r="L281" s="37">
        <f t="shared" si="201"/>
        <v>530519872</v>
      </c>
      <c r="M281" s="41">
        <f t="shared" ref="M281:M289" si="202">L281/F281*100</f>
        <v>77.086043400795504</v>
      </c>
      <c r="N281" s="16">
        <f t="shared" si="172"/>
        <v>3138768072</v>
      </c>
      <c r="O281" s="27">
        <f t="shared" si="173"/>
        <v>95.216151842609634</v>
      </c>
      <c r="P281" s="71"/>
      <c r="Q281" s="47"/>
      <c r="R281" s="47"/>
      <c r="S281" s="47"/>
      <c r="T281" s="47"/>
      <c r="U281" s="56"/>
      <c r="V281" s="47"/>
      <c r="W281" s="47"/>
      <c r="X281" s="47"/>
      <c r="Y281" s="47"/>
      <c r="Z281" s="47"/>
      <c r="AA281" s="47"/>
    </row>
    <row r="282" spans="1:27" ht="30.75" customHeight="1" x14ac:dyDescent="0.3">
      <c r="A282" s="87" t="s">
        <v>146</v>
      </c>
      <c r="B282" s="11" t="s">
        <v>147</v>
      </c>
      <c r="C282" s="12" t="s">
        <v>291</v>
      </c>
      <c r="D282" s="15" t="s">
        <v>15</v>
      </c>
      <c r="E282" s="20">
        <f>SUM(E283:E289)</f>
        <v>123011000</v>
      </c>
      <c r="F282" s="20">
        <f>SUM(F283:F289)</f>
        <v>49879000</v>
      </c>
      <c r="G282" s="20">
        <f>SUM(G283:G289)</f>
        <v>0</v>
      </c>
      <c r="H282" s="28">
        <f t="shared" si="187"/>
        <v>0</v>
      </c>
      <c r="I282" s="20">
        <f>SUM(I283:I289)</f>
        <v>28789415</v>
      </c>
      <c r="J282" s="19">
        <f t="shared" si="171"/>
        <v>28789415</v>
      </c>
      <c r="K282" s="28">
        <f t="shared" si="137"/>
        <v>57.718508791274878</v>
      </c>
      <c r="L282" s="22">
        <f t="shared" si="201"/>
        <v>21089585</v>
      </c>
      <c r="M282" s="32">
        <f t="shared" si="202"/>
        <v>42.281491208725114</v>
      </c>
      <c r="N282" s="19">
        <f t="shared" si="172"/>
        <v>94221585</v>
      </c>
      <c r="O282" s="28">
        <f t="shared" si="173"/>
        <v>76.596064579590433</v>
      </c>
      <c r="P282" s="71"/>
      <c r="Q282" s="47"/>
      <c r="R282" s="47"/>
      <c r="S282" s="47"/>
      <c r="T282" s="47"/>
      <c r="U282" s="56"/>
      <c r="V282" s="47"/>
      <c r="W282" s="47"/>
      <c r="X282" s="47"/>
      <c r="Y282" s="47"/>
      <c r="Z282" s="47"/>
      <c r="AA282" s="47"/>
    </row>
    <row r="283" spans="1:27" ht="31.8" customHeight="1" x14ac:dyDescent="0.3">
      <c r="A283" s="39" t="s">
        <v>28</v>
      </c>
      <c r="B283" s="40" t="s">
        <v>74</v>
      </c>
      <c r="C283" s="40"/>
      <c r="D283" s="51"/>
      <c r="E283" s="21">
        <v>751000</v>
      </c>
      <c r="F283" s="93">
        <v>494000</v>
      </c>
      <c r="G283" s="21">
        <v>0</v>
      </c>
      <c r="H283" s="29">
        <f t="shared" si="187"/>
        <v>0</v>
      </c>
      <c r="I283" s="21">
        <v>0</v>
      </c>
      <c r="J283" s="21">
        <f t="shared" si="171"/>
        <v>0</v>
      </c>
      <c r="K283" s="29">
        <f t="shared" si="137"/>
        <v>0</v>
      </c>
      <c r="L283" s="21">
        <f t="shared" si="201"/>
        <v>494000</v>
      </c>
      <c r="M283" s="29">
        <f t="shared" si="202"/>
        <v>100</v>
      </c>
      <c r="N283" s="21">
        <f t="shared" si="172"/>
        <v>751000</v>
      </c>
      <c r="O283" s="29">
        <f t="shared" si="173"/>
        <v>100</v>
      </c>
      <c r="P283" s="71"/>
      <c r="Q283" s="47"/>
      <c r="R283" s="47"/>
      <c r="S283" s="47"/>
      <c r="T283" s="47"/>
      <c r="U283" s="56"/>
      <c r="V283" s="47"/>
      <c r="W283" s="47"/>
      <c r="X283" s="47"/>
      <c r="Y283" s="47"/>
      <c r="Z283" s="47"/>
      <c r="AA283" s="47"/>
    </row>
    <row r="284" spans="1:27" ht="31.8" customHeight="1" x14ac:dyDescent="0.3">
      <c r="A284" s="39" t="s">
        <v>311</v>
      </c>
      <c r="B284" s="40" t="s">
        <v>315</v>
      </c>
      <c r="C284" s="40"/>
      <c r="D284" s="51"/>
      <c r="E284" s="21">
        <v>1878000</v>
      </c>
      <c r="F284" s="93">
        <v>752000</v>
      </c>
      <c r="G284" s="21">
        <v>0</v>
      </c>
      <c r="H284" s="29">
        <f t="shared" si="187"/>
        <v>0</v>
      </c>
      <c r="I284" s="21">
        <v>0</v>
      </c>
      <c r="J284" s="21">
        <f t="shared" si="171"/>
        <v>0</v>
      </c>
      <c r="K284" s="29">
        <f t="shared" si="137"/>
        <v>0</v>
      </c>
      <c r="L284" s="21">
        <f t="shared" si="201"/>
        <v>752000</v>
      </c>
      <c r="M284" s="29">
        <f t="shared" si="202"/>
        <v>100</v>
      </c>
      <c r="N284" s="21">
        <f t="shared" si="172"/>
        <v>1878000</v>
      </c>
      <c r="O284" s="29">
        <f t="shared" si="173"/>
        <v>100</v>
      </c>
      <c r="P284" s="71"/>
      <c r="Q284" s="47"/>
      <c r="R284" s="47"/>
      <c r="S284" s="47"/>
      <c r="T284" s="47"/>
      <c r="U284" s="56"/>
      <c r="V284" s="47"/>
      <c r="W284" s="47"/>
      <c r="X284" s="47"/>
      <c r="Y284" s="47"/>
      <c r="Z284" s="47"/>
      <c r="AA284" s="47"/>
    </row>
    <row r="285" spans="1:27" ht="30" customHeight="1" x14ac:dyDescent="0.3">
      <c r="A285" s="39" t="s">
        <v>31</v>
      </c>
      <c r="B285" s="40" t="s">
        <v>75</v>
      </c>
      <c r="C285" s="40"/>
      <c r="D285" s="51"/>
      <c r="E285" s="21">
        <v>6152000</v>
      </c>
      <c r="F285" s="93">
        <v>1523000</v>
      </c>
      <c r="G285" s="21">
        <v>0</v>
      </c>
      <c r="H285" s="29">
        <f t="shared" si="187"/>
        <v>0</v>
      </c>
      <c r="I285" s="21">
        <v>0</v>
      </c>
      <c r="J285" s="21">
        <f t="shared" si="171"/>
        <v>0</v>
      </c>
      <c r="K285" s="29">
        <f t="shared" si="137"/>
        <v>0</v>
      </c>
      <c r="L285" s="21">
        <f t="shared" si="201"/>
        <v>1523000</v>
      </c>
      <c r="M285" s="29">
        <f t="shared" si="202"/>
        <v>100</v>
      </c>
      <c r="N285" s="21">
        <f t="shared" si="172"/>
        <v>6152000</v>
      </c>
      <c r="O285" s="29">
        <f t="shared" si="173"/>
        <v>100</v>
      </c>
      <c r="P285" s="71"/>
      <c r="Q285" s="47"/>
      <c r="R285" s="47"/>
      <c r="S285" s="47"/>
      <c r="T285" s="47"/>
      <c r="U285" s="56"/>
      <c r="V285" s="47"/>
      <c r="W285" s="47"/>
      <c r="X285" s="47"/>
      <c r="Y285" s="47"/>
      <c r="Z285" s="47"/>
      <c r="AA285" s="47"/>
    </row>
    <row r="286" spans="1:27" ht="33" customHeight="1" x14ac:dyDescent="0.3">
      <c r="A286" s="39" t="s">
        <v>312</v>
      </c>
      <c r="B286" s="40" t="s">
        <v>313</v>
      </c>
      <c r="C286" s="40"/>
      <c r="D286" s="51"/>
      <c r="E286" s="21">
        <v>2800000</v>
      </c>
      <c r="F286" s="93">
        <v>1800000</v>
      </c>
      <c r="G286" s="21">
        <v>0</v>
      </c>
      <c r="H286" s="29">
        <f t="shared" si="187"/>
        <v>0</v>
      </c>
      <c r="I286" s="21">
        <v>0</v>
      </c>
      <c r="J286" s="21">
        <f t="shared" si="171"/>
        <v>0</v>
      </c>
      <c r="K286" s="29">
        <f t="shared" si="137"/>
        <v>0</v>
      </c>
      <c r="L286" s="21">
        <f t="shared" si="201"/>
        <v>1800000</v>
      </c>
      <c r="M286" s="29">
        <f t="shared" si="202"/>
        <v>100</v>
      </c>
      <c r="N286" s="21">
        <f t="shared" si="172"/>
        <v>2800000</v>
      </c>
      <c r="O286" s="29">
        <f t="shared" si="173"/>
        <v>100</v>
      </c>
      <c r="P286" s="71"/>
      <c r="Q286" s="47"/>
      <c r="R286" s="47"/>
      <c r="S286" s="47"/>
      <c r="T286" s="47"/>
      <c r="U286" s="56"/>
      <c r="V286" s="47"/>
      <c r="W286" s="47"/>
      <c r="X286" s="47"/>
      <c r="Y286" s="47"/>
      <c r="Z286" s="47"/>
      <c r="AA286" s="47"/>
    </row>
    <row r="287" spans="1:27" ht="25.2" customHeight="1" x14ac:dyDescent="0.3">
      <c r="A287" s="39" t="s">
        <v>32</v>
      </c>
      <c r="B287" s="40" t="s">
        <v>16</v>
      </c>
      <c r="C287" s="40"/>
      <c r="D287" s="51"/>
      <c r="E287" s="21">
        <v>11200000</v>
      </c>
      <c r="F287" s="93">
        <v>2800000</v>
      </c>
      <c r="G287" s="21">
        <v>0</v>
      </c>
      <c r="H287" s="29">
        <f t="shared" si="187"/>
        <v>0</v>
      </c>
      <c r="I287" s="21">
        <v>0</v>
      </c>
      <c r="J287" s="21">
        <f t="shared" si="171"/>
        <v>0</v>
      </c>
      <c r="K287" s="29">
        <f t="shared" si="137"/>
        <v>0</v>
      </c>
      <c r="L287" s="21">
        <f t="shared" si="201"/>
        <v>2800000</v>
      </c>
      <c r="M287" s="29">
        <f t="shared" si="202"/>
        <v>100</v>
      </c>
      <c r="N287" s="21">
        <f t="shared" si="172"/>
        <v>11200000</v>
      </c>
      <c r="O287" s="29">
        <f t="shared" si="173"/>
        <v>100</v>
      </c>
      <c r="P287" s="71"/>
      <c r="Q287" s="47"/>
      <c r="R287" s="47"/>
      <c r="S287" s="47"/>
      <c r="T287" s="47"/>
      <c r="U287" s="56"/>
      <c r="V287" s="47"/>
      <c r="W287" s="47"/>
      <c r="X287" s="47"/>
      <c r="Y287" s="47"/>
      <c r="Z287" s="47"/>
      <c r="AA287" s="47"/>
    </row>
    <row r="288" spans="1:27" ht="30" customHeight="1" x14ac:dyDescent="0.3">
      <c r="A288" s="39" t="s">
        <v>33</v>
      </c>
      <c r="B288" s="40" t="s">
        <v>34</v>
      </c>
      <c r="C288" s="40"/>
      <c r="D288" s="51"/>
      <c r="E288" s="21">
        <v>12000000</v>
      </c>
      <c r="F288" s="93">
        <v>2000000</v>
      </c>
      <c r="G288" s="21">
        <v>0</v>
      </c>
      <c r="H288" s="29">
        <f t="shared" si="187"/>
        <v>0</v>
      </c>
      <c r="I288" s="21">
        <f>2000000</f>
        <v>2000000</v>
      </c>
      <c r="J288" s="21">
        <f t="shared" si="171"/>
        <v>2000000</v>
      </c>
      <c r="K288" s="29">
        <f t="shared" si="137"/>
        <v>100</v>
      </c>
      <c r="L288" s="21">
        <f t="shared" si="201"/>
        <v>0</v>
      </c>
      <c r="M288" s="29">
        <f t="shared" si="202"/>
        <v>0</v>
      </c>
      <c r="N288" s="21">
        <f t="shared" si="172"/>
        <v>10000000</v>
      </c>
      <c r="O288" s="29">
        <f t="shared" si="173"/>
        <v>83.333333333333343</v>
      </c>
      <c r="P288" s="71"/>
      <c r="Q288" s="47"/>
      <c r="R288" s="47"/>
      <c r="S288" s="47"/>
      <c r="T288" s="47"/>
      <c r="U288" s="56"/>
      <c r="V288" s="47"/>
      <c r="W288" s="47"/>
      <c r="X288" s="47"/>
      <c r="Y288" s="47"/>
      <c r="Z288" s="47"/>
      <c r="AA288" s="47"/>
    </row>
    <row r="289" spans="1:27" ht="24.6" customHeight="1" x14ac:dyDescent="0.3">
      <c r="A289" s="39" t="s">
        <v>52</v>
      </c>
      <c r="B289" s="40" t="s">
        <v>36</v>
      </c>
      <c r="C289" s="40"/>
      <c r="D289" s="51"/>
      <c r="E289" s="21">
        <f>SUM(E290:E292)</f>
        <v>88230000</v>
      </c>
      <c r="F289" s="93">
        <v>40510000</v>
      </c>
      <c r="G289" s="21">
        <f>SUM(G290:G292)</f>
        <v>0</v>
      </c>
      <c r="H289" s="29">
        <f t="shared" si="187"/>
        <v>0</v>
      </c>
      <c r="I289" s="21">
        <f>SUM(I290:I292)</f>
        <v>26789415</v>
      </c>
      <c r="J289" s="21">
        <f t="shared" si="171"/>
        <v>26789415</v>
      </c>
      <c r="K289" s="29">
        <f t="shared" si="137"/>
        <v>66.130375215996054</v>
      </c>
      <c r="L289" s="21">
        <f t="shared" si="201"/>
        <v>13720585</v>
      </c>
      <c r="M289" s="29">
        <f t="shared" si="202"/>
        <v>33.869624784003946</v>
      </c>
      <c r="N289" s="21">
        <f t="shared" si="172"/>
        <v>61440585</v>
      </c>
      <c r="O289" s="29">
        <f t="shared" si="173"/>
        <v>69.636841210472639</v>
      </c>
      <c r="P289" s="71"/>
      <c r="Q289" s="47"/>
      <c r="R289" s="47"/>
      <c r="S289" s="47"/>
      <c r="T289" s="47"/>
      <c r="U289" s="56"/>
      <c r="V289" s="47"/>
      <c r="W289" s="47"/>
      <c r="X289" s="47"/>
      <c r="Y289" s="47"/>
      <c r="Z289" s="47"/>
      <c r="AA289" s="47"/>
    </row>
    <row r="290" spans="1:27" ht="25.2" customHeight="1" x14ac:dyDescent="0.3">
      <c r="A290" s="39"/>
      <c r="B290" s="40" t="s">
        <v>331</v>
      </c>
      <c r="C290" s="40"/>
      <c r="D290" s="51"/>
      <c r="E290" s="21">
        <v>34080000</v>
      </c>
      <c r="F290" s="21"/>
      <c r="G290" s="21">
        <v>0</v>
      </c>
      <c r="H290" s="29"/>
      <c r="I290" s="21">
        <f>6770000</f>
        <v>6770000</v>
      </c>
      <c r="J290" s="21">
        <f t="shared" si="171"/>
        <v>6770000</v>
      </c>
      <c r="K290" s="29"/>
      <c r="L290" s="21"/>
      <c r="M290" s="29"/>
      <c r="N290" s="21">
        <f t="shared" si="172"/>
        <v>27310000</v>
      </c>
      <c r="O290" s="29">
        <f t="shared" si="173"/>
        <v>80.1349765258216</v>
      </c>
      <c r="P290" s="71"/>
      <c r="Q290" s="47"/>
      <c r="R290" s="47"/>
      <c r="S290" s="47"/>
      <c r="T290" s="47"/>
      <c r="U290" s="56"/>
      <c r="V290" s="47"/>
      <c r="W290" s="47"/>
      <c r="X290" s="47"/>
      <c r="Y290" s="47"/>
      <c r="Z290" s="47"/>
      <c r="AA290" s="47"/>
    </row>
    <row r="291" spans="1:27" ht="23.4" customHeight="1" x14ac:dyDescent="0.3">
      <c r="A291" s="39"/>
      <c r="B291" s="40" t="s">
        <v>332</v>
      </c>
      <c r="C291" s="40"/>
      <c r="D291" s="51"/>
      <c r="E291" s="21">
        <v>30570000</v>
      </c>
      <c r="F291" s="21"/>
      <c r="G291" s="21">
        <v>0</v>
      </c>
      <c r="H291" s="29"/>
      <c r="I291" s="21">
        <f>1955000+6832500+3220000</f>
        <v>12007500</v>
      </c>
      <c r="J291" s="21">
        <f t="shared" si="171"/>
        <v>12007500</v>
      </c>
      <c r="K291" s="29"/>
      <c r="L291" s="21"/>
      <c r="M291" s="29"/>
      <c r="N291" s="21">
        <f t="shared" si="172"/>
        <v>18562500</v>
      </c>
      <c r="O291" s="29">
        <f t="shared" si="173"/>
        <v>60.721295387634932</v>
      </c>
      <c r="P291" s="71"/>
      <c r="Q291" s="47"/>
      <c r="R291" s="47"/>
      <c r="S291" s="47"/>
      <c r="T291" s="47"/>
      <c r="U291" s="56"/>
      <c r="V291" s="47"/>
      <c r="W291" s="47"/>
      <c r="X291" s="47"/>
      <c r="Y291" s="47"/>
      <c r="Z291" s="47"/>
      <c r="AA291" s="47"/>
    </row>
    <row r="292" spans="1:27" ht="23.4" customHeight="1" x14ac:dyDescent="0.3">
      <c r="A292" s="39"/>
      <c r="B292" s="40" t="s">
        <v>333</v>
      </c>
      <c r="C292" s="40"/>
      <c r="D292" s="51"/>
      <c r="E292" s="21">
        <f>8410000+7860000+7310000</f>
        <v>23580000</v>
      </c>
      <c r="F292" s="21"/>
      <c r="G292" s="21">
        <v>0</v>
      </c>
      <c r="H292" s="29"/>
      <c r="I292" s="21">
        <f>8011915</f>
        <v>8011915</v>
      </c>
      <c r="J292" s="21">
        <f t="shared" si="171"/>
        <v>8011915</v>
      </c>
      <c r="K292" s="29"/>
      <c r="L292" s="21"/>
      <c r="M292" s="29"/>
      <c r="N292" s="21">
        <f t="shared" si="172"/>
        <v>15568085</v>
      </c>
      <c r="O292" s="29">
        <f t="shared" si="173"/>
        <v>66.022413061916879</v>
      </c>
      <c r="P292" s="71"/>
      <c r="Q292" s="47"/>
      <c r="R292" s="47"/>
      <c r="S292" s="47"/>
      <c r="T292" s="47"/>
      <c r="U292" s="56"/>
      <c r="V292" s="47"/>
      <c r="W292" s="47"/>
      <c r="X292" s="47"/>
      <c r="Y292" s="47"/>
      <c r="Z292" s="47"/>
      <c r="AA292" s="47"/>
    </row>
    <row r="293" spans="1:27" ht="18" customHeight="1" x14ac:dyDescent="0.3">
      <c r="A293" s="57"/>
      <c r="B293" s="13"/>
      <c r="C293" s="40"/>
      <c r="D293" s="51"/>
      <c r="E293" s="14"/>
      <c r="F293" s="14"/>
      <c r="G293" s="21"/>
      <c r="H293" s="30"/>
      <c r="I293" s="21"/>
      <c r="J293" s="21"/>
      <c r="K293" s="28"/>
      <c r="L293" s="21"/>
      <c r="M293" s="29"/>
      <c r="N293" s="21"/>
      <c r="O293" s="29"/>
      <c r="P293" s="71"/>
      <c r="Q293" s="47"/>
      <c r="R293" s="47"/>
      <c r="S293" s="47"/>
      <c r="T293" s="47"/>
      <c r="U293" s="56"/>
      <c r="V293" s="47"/>
      <c r="W293" s="47"/>
      <c r="X293" s="47"/>
      <c r="Y293" s="47"/>
      <c r="Z293" s="47"/>
      <c r="AA293" s="47"/>
    </row>
    <row r="294" spans="1:27" ht="31.2" customHeight="1" x14ac:dyDescent="0.3">
      <c r="A294" s="87" t="s">
        <v>148</v>
      </c>
      <c r="B294" s="11" t="s">
        <v>149</v>
      </c>
      <c r="C294" s="12" t="s">
        <v>291</v>
      </c>
      <c r="D294" s="15" t="s">
        <v>15</v>
      </c>
      <c r="E294" s="20">
        <f>SUM(E295:E302)</f>
        <v>333811000</v>
      </c>
      <c r="F294" s="20">
        <f>SUM(F295:F302)</f>
        <v>73014350</v>
      </c>
      <c r="G294" s="20">
        <f>SUM(G295:G302)</f>
        <v>0</v>
      </c>
      <c r="H294" s="28">
        <f t="shared" si="187"/>
        <v>0</v>
      </c>
      <c r="I294" s="20">
        <f>SUM(I295:I302)</f>
        <v>24150498</v>
      </c>
      <c r="J294" s="19">
        <f t="shared" ref="J294:J359" si="203">G294+I294</f>
        <v>24150498</v>
      </c>
      <c r="K294" s="28">
        <f t="shared" ref="K294:K356" si="204">J294/F294*100</f>
        <v>33.076371973454535</v>
      </c>
      <c r="L294" s="22">
        <f t="shared" ref="L294:L311" si="205">F294-J294</f>
        <v>48863852</v>
      </c>
      <c r="M294" s="32">
        <f>L294/F294*100</f>
        <v>66.923628026545472</v>
      </c>
      <c r="N294" s="19">
        <f t="shared" ref="N294:N318" si="206">E294-J294</f>
        <v>309660502</v>
      </c>
      <c r="O294" s="28">
        <f t="shared" ref="O294:O318" si="207">N294/E294*100</f>
        <v>92.76521804254503</v>
      </c>
      <c r="P294" s="71"/>
      <c r="Q294" s="47"/>
      <c r="R294" s="47"/>
      <c r="S294" s="47"/>
      <c r="T294" s="47"/>
      <c r="U294" s="56"/>
      <c r="V294" s="47"/>
      <c r="W294" s="47"/>
      <c r="X294" s="47"/>
      <c r="Y294" s="47"/>
      <c r="Z294" s="47"/>
      <c r="AA294" s="47"/>
    </row>
    <row r="295" spans="1:27" ht="24" customHeight="1" x14ac:dyDescent="0.3">
      <c r="A295" s="39" t="s">
        <v>28</v>
      </c>
      <c r="B295" s="40" t="s">
        <v>74</v>
      </c>
      <c r="C295" s="55"/>
      <c r="D295" s="62"/>
      <c r="E295" s="21">
        <v>1283000</v>
      </c>
      <c r="F295" s="93">
        <v>496100</v>
      </c>
      <c r="G295" s="21">
        <v>0</v>
      </c>
      <c r="H295" s="29">
        <f t="shared" si="187"/>
        <v>0</v>
      </c>
      <c r="I295" s="21">
        <v>0</v>
      </c>
      <c r="J295" s="21">
        <f t="shared" si="203"/>
        <v>0</v>
      </c>
      <c r="K295" s="29">
        <f t="shared" si="204"/>
        <v>0</v>
      </c>
      <c r="L295" s="21">
        <f t="shared" si="205"/>
        <v>496100</v>
      </c>
      <c r="M295" s="29">
        <f>L295/F295*100</f>
        <v>100</v>
      </c>
      <c r="N295" s="21">
        <f t="shared" si="206"/>
        <v>1283000</v>
      </c>
      <c r="O295" s="29">
        <f t="shared" si="207"/>
        <v>100</v>
      </c>
      <c r="P295" s="71"/>
      <c r="Q295" s="47"/>
      <c r="R295" s="47"/>
      <c r="S295" s="47"/>
      <c r="T295" s="47"/>
      <c r="U295" s="56"/>
      <c r="V295" s="47"/>
      <c r="W295" s="47"/>
      <c r="X295" s="47"/>
      <c r="Y295" s="47"/>
      <c r="Z295" s="47"/>
      <c r="AA295" s="47"/>
    </row>
    <row r="296" spans="1:27" ht="28.2" customHeight="1" x14ac:dyDescent="0.3">
      <c r="A296" s="39" t="s">
        <v>311</v>
      </c>
      <c r="B296" s="40" t="s">
        <v>315</v>
      </c>
      <c r="C296" s="55"/>
      <c r="D296" s="22"/>
      <c r="E296" s="21">
        <v>5763000</v>
      </c>
      <c r="F296" s="93">
        <v>1599500</v>
      </c>
      <c r="G296" s="21">
        <v>0</v>
      </c>
      <c r="H296" s="29">
        <f t="shared" si="187"/>
        <v>0</v>
      </c>
      <c r="I296" s="21">
        <v>0</v>
      </c>
      <c r="J296" s="21">
        <f t="shared" si="203"/>
        <v>0</v>
      </c>
      <c r="K296" s="29">
        <f t="shared" si="204"/>
        <v>0</v>
      </c>
      <c r="L296" s="21">
        <f t="shared" si="205"/>
        <v>1599500</v>
      </c>
      <c r="M296" s="29">
        <f>L296/F296*100</f>
        <v>100</v>
      </c>
      <c r="N296" s="21">
        <f t="shared" si="206"/>
        <v>5763000</v>
      </c>
      <c r="O296" s="29">
        <f t="shared" si="207"/>
        <v>100</v>
      </c>
      <c r="P296" s="71"/>
      <c r="Q296" s="47"/>
      <c r="R296" s="47"/>
      <c r="S296" s="47"/>
      <c r="T296" s="47"/>
      <c r="U296" s="56"/>
      <c r="V296" s="47"/>
      <c r="W296" s="47"/>
      <c r="X296" s="47"/>
      <c r="Y296" s="47"/>
      <c r="Z296" s="47"/>
      <c r="AA296" s="47"/>
    </row>
    <row r="297" spans="1:27" ht="21" customHeight="1" x14ac:dyDescent="0.3">
      <c r="A297" s="39" t="s">
        <v>31</v>
      </c>
      <c r="B297" s="40" t="s">
        <v>75</v>
      </c>
      <c r="C297" s="40"/>
      <c r="D297" s="51"/>
      <c r="E297" s="21">
        <v>21915000</v>
      </c>
      <c r="F297" s="93">
        <v>9478750</v>
      </c>
      <c r="G297" s="21">
        <v>0</v>
      </c>
      <c r="H297" s="29">
        <f t="shared" si="187"/>
        <v>0</v>
      </c>
      <c r="I297" s="21">
        <v>0</v>
      </c>
      <c r="J297" s="21">
        <f>G297+I297</f>
        <v>0</v>
      </c>
      <c r="K297" s="29">
        <f t="shared" si="204"/>
        <v>0</v>
      </c>
      <c r="L297" s="21">
        <f t="shared" si="205"/>
        <v>9478750</v>
      </c>
      <c r="M297" s="29">
        <f t="shared" ref="M297:M302" si="208">L297/F297*100</f>
        <v>100</v>
      </c>
      <c r="N297" s="21">
        <f>E297-J297</f>
        <v>21915000</v>
      </c>
      <c r="O297" s="29">
        <f>N297/E297*100</f>
        <v>100</v>
      </c>
      <c r="P297" s="71"/>
      <c r="Q297" s="47"/>
      <c r="R297" s="47"/>
      <c r="S297" s="47"/>
      <c r="T297" s="47"/>
      <c r="U297" s="56"/>
      <c r="V297" s="47"/>
      <c r="W297" s="47"/>
      <c r="X297" s="47"/>
      <c r="Y297" s="47"/>
      <c r="Z297" s="47"/>
      <c r="AA297" s="47"/>
    </row>
    <row r="298" spans="1:27" ht="27" customHeight="1" x14ac:dyDescent="0.3">
      <c r="A298" s="39" t="s">
        <v>312</v>
      </c>
      <c r="B298" s="40" t="s">
        <v>313</v>
      </c>
      <c r="C298" s="40"/>
      <c r="D298" s="51"/>
      <c r="E298" s="21">
        <v>5600000</v>
      </c>
      <c r="F298" s="93">
        <v>2400000</v>
      </c>
      <c r="G298" s="21">
        <v>0</v>
      </c>
      <c r="H298" s="29">
        <f t="shared" si="187"/>
        <v>0</v>
      </c>
      <c r="I298" s="21">
        <v>0</v>
      </c>
      <c r="J298" s="21">
        <f t="shared" ref="J298:J305" si="209">G298+I298</f>
        <v>0</v>
      </c>
      <c r="K298" s="29">
        <f t="shared" si="204"/>
        <v>0</v>
      </c>
      <c r="L298" s="21">
        <f t="shared" si="205"/>
        <v>2400000</v>
      </c>
      <c r="M298" s="29">
        <f t="shared" si="208"/>
        <v>100</v>
      </c>
      <c r="N298" s="21">
        <f t="shared" ref="N298:N305" si="210">E298-J298</f>
        <v>5600000</v>
      </c>
      <c r="O298" s="29">
        <f t="shared" ref="O298:O305" si="211">N298/E298*100</f>
        <v>100</v>
      </c>
      <c r="Q298" s="47"/>
      <c r="R298" s="47"/>
      <c r="S298" s="47"/>
      <c r="T298" s="47"/>
      <c r="U298" s="56"/>
      <c r="V298" s="47"/>
      <c r="W298" s="47"/>
      <c r="X298" s="47"/>
      <c r="Y298" s="47"/>
      <c r="Z298" s="47"/>
      <c r="AA298" s="47"/>
    </row>
    <row r="299" spans="1:27" ht="18" customHeight="1" x14ac:dyDescent="0.3">
      <c r="A299" s="39" t="s">
        <v>32</v>
      </c>
      <c r="B299" s="40" t="s">
        <v>16</v>
      </c>
      <c r="C299" s="40"/>
      <c r="D299" s="51"/>
      <c r="E299" s="21">
        <v>9600000</v>
      </c>
      <c r="F299" s="93">
        <v>3200000</v>
      </c>
      <c r="G299" s="21">
        <v>0</v>
      </c>
      <c r="H299" s="29">
        <f t="shared" si="187"/>
        <v>0</v>
      </c>
      <c r="I299" s="21">
        <v>0</v>
      </c>
      <c r="J299" s="21">
        <f t="shared" si="209"/>
        <v>0</v>
      </c>
      <c r="K299" s="29">
        <f t="shared" si="204"/>
        <v>0</v>
      </c>
      <c r="L299" s="21">
        <f t="shared" si="205"/>
        <v>3200000</v>
      </c>
      <c r="M299" s="29">
        <f t="shared" si="208"/>
        <v>100</v>
      </c>
      <c r="N299" s="21">
        <f t="shared" si="210"/>
        <v>9600000</v>
      </c>
      <c r="O299" s="29">
        <f t="shared" si="211"/>
        <v>100</v>
      </c>
      <c r="Q299" s="47"/>
      <c r="R299" s="47"/>
      <c r="S299" s="47"/>
      <c r="T299" s="47"/>
      <c r="U299" s="56"/>
      <c r="V299" s="47"/>
      <c r="W299" s="47"/>
      <c r="X299" s="47"/>
      <c r="Y299" s="47"/>
      <c r="Z299" s="47"/>
      <c r="AA299" s="47"/>
    </row>
    <row r="300" spans="1:27" ht="21" customHeight="1" x14ac:dyDescent="0.3">
      <c r="A300" s="39" t="s">
        <v>33</v>
      </c>
      <c r="B300" s="40" t="s">
        <v>34</v>
      </c>
      <c r="C300" s="55"/>
      <c r="D300" s="62"/>
      <c r="E300" s="21">
        <v>12000000</v>
      </c>
      <c r="F300" s="93">
        <v>2000000</v>
      </c>
      <c r="G300" s="21">
        <v>0</v>
      </c>
      <c r="H300" s="29">
        <f t="shared" si="187"/>
        <v>0</v>
      </c>
      <c r="I300" s="21">
        <f>2000000</f>
        <v>2000000</v>
      </c>
      <c r="J300" s="21">
        <f t="shared" si="209"/>
        <v>2000000</v>
      </c>
      <c r="K300" s="29">
        <f>J300/F300*100</f>
        <v>100</v>
      </c>
      <c r="L300" s="21">
        <f t="shared" si="205"/>
        <v>0</v>
      </c>
      <c r="M300" s="29">
        <f t="shared" si="208"/>
        <v>0</v>
      </c>
      <c r="N300" s="21">
        <f t="shared" si="210"/>
        <v>10000000</v>
      </c>
      <c r="O300" s="29">
        <f t="shared" si="211"/>
        <v>83.333333333333343</v>
      </c>
      <c r="Q300" s="47"/>
      <c r="R300" s="47"/>
      <c r="S300" s="47"/>
      <c r="T300" s="47"/>
      <c r="U300" s="56"/>
      <c r="V300" s="47"/>
      <c r="W300" s="47"/>
      <c r="X300" s="47"/>
      <c r="Y300" s="47"/>
      <c r="Z300" s="47"/>
      <c r="AA300" s="47"/>
    </row>
    <row r="301" spans="1:27" ht="33" customHeight="1" x14ac:dyDescent="0.3">
      <c r="A301" s="39" t="s">
        <v>289</v>
      </c>
      <c r="B301" s="40" t="s">
        <v>290</v>
      </c>
      <c r="C301" s="55"/>
      <c r="D301" s="62"/>
      <c r="E301" s="21">
        <v>172530000</v>
      </c>
      <c r="F301" s="21">
        <v>0</v>
      </c>
      <c r="G301" s="21">
        <v>0</v>
      </c>
      <c r="H301" s="29">
        <v>0</v>
      </c>
      <c r="I301" s="21">
        <v>0</v>
      </c>
      <c r="J301" s="21">
        <f t="shared" si="209"/>
        <v>0</v>
      </c>
      <c r="K301" s="29">
        <v>0</v>
      </c>
      <c r="L301" s="21">
        <f t="shared" si="205"/>
        <v>0</v>
      </c>
      <c r="M301" s="29">
        <v>0</v>
      </c>
      <c r="N301" s="21">
        <f t="shared" si="210"/>
        <v>172530000</v>
      </c>
      <c r="O301" s="29">
        <f t="shared" si="211"/>
        <v>100</v>
      </c>
      <c r="Q301" s="47"/>
      <c r="R301" s="47"/>
      <c r="S301" s="47"/>
      <c r="T301" s="47"/>
      <c r="U301" s="56"/>
      <c r="V301" s="47"/>
      <c r="W301" s="47"/>
      <c r="X301" s="47"/>
      <c r="Y301" s="47"/>
      <c r="Z301" s="47"/>
      <c r="AA301" s="47"/>
    </row>
    <row r="302" spans="1:27" ht="18" customHeight="1" x14ac:dyDescent="0.3">
      <c r="A302" s="39" t="s">
        <v>52</v>
      </c>
      <c r="B302" s="40" t="s">
        <v>36</v>
      </c>
      <c r="C302" s="40"/>
      <c r="D302" s="51"/>
      <c r="E302" s="21">
        <f>SUM(E303:E305)</f>
        <v>105120000</v>
      </c>
      <c r="F302" s="93">
        <v>53840000</v>
      </c>
      <c r="G302" s="21">
        <f>SUM(G303:G305)</f>
        <v>0</v>
      </c>
      <c r="H302" s="29">
        <f t="shared" si="187"/>
        <v>0</v>
      </c>
      <c r="I302" s="21">
        <f>SUM(I303:I305)</f>
        <v>22150498</v>
      </c>
      <c r="J302" s="21">
        <f t="shared" si="209"/>
        <v>22150498</v>
      </c>
      <c r="K302" s="29">
        <f>J302/F302*100</f>
        <v>41.141341010401192</v>
      </c>
      <c r="L302" s="21">
        <f t="shared" si="205"/>
        <v>31689502</v>
      </c>
      <c r="M302" s="29">
        <f t="shared" si="208"/>
        <v>58.858658989598808</v>
      </c>
      <c r="N302" s="21">
        <f t="shared" si="210"/>
        <v>82969502</v>
      </c>
      <c r="O302" s="29">
        <f t="shared" si="211"/>
        <v>78.928369482496194</v>
      </c>
      <c r="Q302" s="47"/>
      <c r="R302" s="47"/>
      <c r="S302" s="47"/>
      <c r="T302" s="47"/>
      <c r="U302" s="56"/>
      <c r="V302" s="47"/>
      <c r="W302" s="47"/>
      <c r="X302" s="47"/>
      <c r="Y302" s="47"/>
      <c r="Z302" s="47"/>
      <c r="AA302" s="47"/>
    </row>
    <row r="303" spans="1:27" ht="24.6" customHeight="1" x14ac:dyDescent="0.3">
      <c r="A303" s="39"/>
      <c r="B303" s="40" t="s">
        <v>331</v>
      </c>
      <c r="C303" s="40"/>
      <c r="D303" s="51"/>
      <c r="E303" s="21">
        <v>4410000</v>
      </c>
      <c r="F303" s="93"/>
      <c r="G303" s="21">
        <v>0</v>
      </c>
      <c r="H303" s="29"/>
      <c r="I303" s="21">
        <v>0</v>
      </c>
      <c r="J303" s="21">
        <f t="shared" si="209"/>
        <v>0</v>
      </c>
      <c r="K303" s="29"/>
      <c r="L303" s="21"/>
      <c r="M303" s="29"/>
      <c r="N303" s="21">
        <f t="shared" si="210"/>
        <v>4410000</v>
      </c>
      <c r="O303" s="29">
        <f t="shared" si="211"/>
        <v>100</v>
      </c>
      <c r="Q303" s="47"/>
      <c r="R303" s="47"/>
      <c r="S303" s="47"/>
      <c r="T303" s="47"/>
      <c r="U303" s="56"/>
      <c r="V303" s="47"/>
      <c r="W303" s="47"/>
      <c r="X303" s="47"/>
      <c r="Y303" s="47"/>
      <c r="Z303" s="47"/>
      <c r="AA303" s="47"/>
    </row>
    <row r="304" spans="1:27" ht="24.6" customHeight="1" x14ac:dyDescent="0.3">
      <c r="A304" s="39"/>
      <c r="B304" s="40" t="s">
        <v>334</v>
      </c>
      <c r="C304" s="40"/>
      <c r="D304" s="51"/>
      <c r="E304" s="21">
        <v>60860000</v>
      </c>
      <c r="F304" s="93"/>
      <c r="G304" s="21">
        <v>0</v>
      </c>
      <c r="H304" s="29"/>
      <c r="I304" s="21">
        <f>4140000</f>
        <v>4140000</v>
      </c>
      <c r="J304" s="21">
        <f t="shared" si="209"/>
        <v>4140000</v>
      </c>
      <c r="K304" s="29"/>
      <c r="L304" s="21"/>
      <c r="M304" s="29"/>
      <c r="N304" s="21">
        <f t="shared" si="210"/>
        <v>56720000</v>
      </c>
      <c r="O304" s="29">
        <f t="shared" si="211"/>
        <v>93.197502464673022</v>
      </c>
      <c r="Q304" s="47"/>
      <c r="R304" s="47"/>
      <c r="S304" s="47"/>
      <c r="T304" s="47"/>
      <c r="U304" s="56"/>
      <c r="V304" s="47"/>
      <c r="W304" s="47"/>
      <c r="X304" s="47"/>
      <c r="Y304" s="47"/>
      <c r="Z304" s="47"/>
      <c r="AA304" s="47"/>
    </row>
    <row r="305" spans="1:27" ht="25.2" customHeight="1" x14ac:dyDescent="0.3">
      <c r="A305" s="39"/>
      <c r="B305" s="40" t="s">
        <v>335</v>
      </c>
      <c r="C305" s="40"/>
      <c r="D305" s="51"/>
      <c r="E305" s="21">
        <v>39850000</v>
      </c>
      <c r="F305" s="93"/>
      <c r="G305" s="21">
        <v>0</v>
      </c>
      <c r="H305" s="29"/>
      <c r="I305" s="21">
        <f>18010498</f>
        <v>18010498</v>
      </c>
      <c r="J305" s="21">
        <f t="shared" si="209"/>
        <v>18010498</v>
      </c>
      <c r="K305" s="29"/>
      <c r="L305" s="21"/>
      <c r="M305" s="29"/>
      <c r="N305" s="21">
        <f t="shared" si="210"/>
        <v>21839502</v>
      </c>
      <c r="O305" s="29">
        <f t="shared" si="211"/>
        <v>54.804271016311169</v>
      </c>
      <c r="Q305" s="47"/>
      <c r="R305" s="47"/>
      <c r="S305" s="47"/>
      <c r="T305" s="47"/>
      <c r="U305" s="56"/>
      <c r="V305" s="47"/>
      <c r="W305" s="47"/>
      <c r="X305" s="47"/>
      <c r="Y305" s="47"/>
      <c r="Z305" s="47"/>
      <c r="AA305" s="47"/>
    </row>
    <row r="306" spans="1:27" ht="18" customHeight="1" x14ac:dyDescent="0.3">
      <c r="A306" s="57"/>
      <c r="B306" s="13"/>
      <c r="C306" s="40"/>
      <c r="D306" s="51"/>
      <c r="E306" s="14"/>
      <c r="F306" s="14"/>
      <c r="G306" s="21"/>
      <c r="H306" s="30"/>
      <c r="I306" s="21"/>
      <c r="J306" s="21"/>
      <c r="K306" s="28"/>
      <c r="L306" s="21"/>
      <c r="M306" s="29"/>
      <c r="N306" s="21"/>
      <c r="O306" s="29"/>
      <c r="Q306" s="47"/>
      <c r="R306" s="47"/>
      <c r="S306" s="47"/>
      <c r="T306" s="47"/>
      <c r="U306" s="56"/>
      <c r="V306" s="47"/>
      <c r="W306" s="47"/>
      <c r="X306" s="47"/>
      <c r="Y306" s="47"/>
      <c r="Z306" s="47"/>
      <c r="AA306" s="47"/>
    </row>
    <row r="307" spans="1:27" ht="36" customHeight="1" x14ac:dyDescent="0.3">
      <c r="A307" s="87" t="s">
        <v>150</v>
      </c>
      <c r="B307" s="11" t="s">
        <v>344</v>
      </c>
      <c r="C307" s="12" t="s">
        <v>291</v>
      </c>
      <c r="D307" s="15" t="s">
        <v>15</v>
      </c>
      <c r="E307" s="20">
        <f>SUM(E308:E315)</f>
        <v>194430000</v>
      </c>
      <c r="F307" s="20">
        <f>SUM(F308:F315)</f>
        <v>57668800</v>
      </c>
      <c r="G307" s="20">
        <f>SUM(G308:G315)</f>
        <v>0</v>
      </c>
      <c r="H307" s="28">
        <f t="shared" si="187"/>
        <v>0</v>
      </c>
      <c r="I307" s="20">
        <f>SUM(I308:I315)</f>
        <v>18901005</v>
      </c>
      <c r="J307" s="19">
        <f t="shared" ref="J307" si="212">G307+I307</f>
        <v>18901005</v>
      </c>
      <c r="K307" s="28">
        <f t="shared" ref="K307" si="213">J307/F307*100</f>
        <v>32.775096759426241</v>
      </c>
      <c r="L307" s="22">
        <f t="shared" ref="L307" si="214">F307-J307</f>
        <v>38767795</v>
      </c>
      <c r="M307" s="32">
        <f>L307/F307*100</f>
        <v>67.224903240573767</v>
      </c>
      <c r="N307" s="19">
        <f t="shared" ref="N307" si="215">E307-J307</f>
        <v>175528995</v>
      </c>
      <c r="O307" s="28">
        <f t="shared" ref="O307" si="216">N307/E307*100</f>
        <v>90.278760993673814</v>
      </c>
      <c r="Q307" s="47"/>
      <c r="R307" s="47"/>
      <c r="S307" s="47"/>
      <c r="T307" s="47"/>
      <c r="U307" s="56"/>
      <c r="V307" s="47"/>
      <c r="W307" s="47"/>
      <c r="X307" s="47"/>
      <c r="Y307" s="47"/>
      <c r="Z307" s="47"/>
      <c r="AA307" s="47"/>
    </row>
    <row r="308" spans="1:27" ht="30.6" customHeight="1" x14ac:dyDescent="0.3">
      <c r="A308" s="39" t="s">
        <v>28</v>
      </c>
      <c r="B308" s="40" t="s">
        <v>74</v>
      </c>
      <c r="C308" s="55"/>
      <c r="D308" s="62"/>
      <c r="E308" s="21">
        <v>595000</v>
      </c>
      <c r="F308" s="93">
        <v>359800</v>
      </c>
      <c r="G308" s="21">
        <v>0</v>
      </c>
      <c r="H308" s="29">
        <f t="shared" si="187"/>
        <v>0</v>
      </c>
      <c r="I308" s="21">
        <v>0</v>
      </c>
      <c r="J308" s="21">
        <f t="shared" si="203"/>
        <v>0</v>
      </c>
      <c r="K308" s="29">
        <f t="shared" si="204"/>
        <v>0</v>
      </c>
      <c r="L308" s="21">
        <f t="shared" si="205"/>
        <v>359800</v>
      </c>
      <c r="M308" s="29">
        <f>L308/F308*100</f>
        <v>100</v>
      </c>
      <c r="N308" s="21">
        <f t="shared" si="206"/>
        <v>595000</v>
      </c>
      <c r="O308" s="29">
        <f t="shared" si="207"/>
        <v>100</v>
      </c>
      <c r="Q308" s="47"/>
      <c r="R308" s="47"/>
      <c r="S308" s="47"/>
      <c r="T308" s="47"/>
      <c r="U308" s="56"/>
      <c r="V308" s="47"/>
      <c r="W308" s="47"/>
      <c r="X308" s="47"/>
      <c r="Y308" s="47"/>
      <c r="Z308" s="47"/>
      <c r="AA308" s="47"/>
    </row>
    <row r="309" spans="1:27" ht="22.8" customHeight="1" x14ac:dyDescent="0.3">
      <c r="A309" s="39" t="s">
        <v>311</v>
      </c>
      <c r="B309" s="40" t="s">
        <v>315</v>
      </c>
      <c r="C309" s="55"/>
      <c r="D309" s="62"/>
      <c r="E309" s="21">
        <v>2495000</v>
      </c>
      <c r="F309" s="93">
        <v>1299000</v>
      </c>
      <c r="G309" s="21">
        <v>0</v>
      </c>
      <c r="H309" s="29">
        <f t="shared" si="187"/>
        <v>0</v>
      </c>
      <c r="I309" s="21">
        <v>0</v>
      </c>
      <c r="J309" s="21">
        <f t="shared" si="203"/>
        <v>0</v>
      </c>
      <c r="K309" s="29">
        <f t="shared" si="204"/>
        <v>0</v>
      </c>
      <c r="L309" s="21">
        <f t="shared" si="205"/>
        <v>1299000</v>
      </c>
      <c r="M309" s="29">
        <f t="shared" ref="M309:M311" si="217">L309/F309*100</f>
        <v>100</v>
      </c>
      <c r="N309" s="21">
        <f t="shared" si="206"/>
        <v>2495000</v>
      </c>
      <c r="O309" s="29">
        <f t="shared" si="207"/>
        <v>100</v>
      </c>
      <c r="Q309" s="47"/>
      <c r="R309" s="47"/>
      <c r="S309" s="47"/>
      <c r="T309" s="47"/>
      <c r="U309" s="56"/>
      <c r="V309" s="47"/>
      <c r="W309" s="47"/>
      <c r="X309" s="47"/>
      <c r="Y309" s="47"/>
      <c r="Z309" s="47"/>
      <c r="AA309" s="47"/>
    </row>
    <row r="310" spans="1:27" ht="22.8" customHeight="1" x14ac:dyDescent="0.3">
      <c r="A310" s="39" t="s">
        <v>31</v>
      </c>
      <c r="B310" s="40" t="s">
        <v>75</v>
      </c>
      <c r="C310" s="55"/>
      <c r="D310" s="62"/>
      <c r="E310" s="21">
        <v>32900000</v>
      </c>
      <c r="F310" s="93">
        <v>16850000</v>
      </c>
      <c r="G310" s="21">
        <v>0</v>
      </c>
      <c r="H310" s="29">
        <f t="shared" si="187"/>
        <v>0</v>
      </c>
      <c r="I310" s="21">
        <v>0</v>
      </c>
      <c r="J310" s="21">
        <f t="shared" si="203"/>
        <v>0</v>
      </c>
      <c r="K310" s="29">
        <f t="shared" si="204"/>
        <v>0</v>
      </c>
      <c r="L310" s="21">
        <f t="shared" si="205"/>
        <v>16850000</v>
      </c>
      <c r="M310" s="29">
        <f t="shared" si="217"/>
        <v>100</v>
      </c>
      <c r="N310" s="21">
        <f t="shared" si="206"/>
        <v>32900000</v>
      </c>
      <c r="O310" s="29">
        <f t="shared" si="207"/>
        <v>100</v>
      </c>
      <c r="Q310" s="47"/>
      <c r="R310" s="47"/>
      <c r="S310" s="47"/>
      <c r="T310" s="47"/>
      <c r="U310" s="56"/>
      <c r="V310" s="47"/>
      <c r="W310" s="47"/>
      <c r="X310" s="47"/>
      <c r="Y310" s="47"/>
      <c r="Z310" s="47"/>
      <c r="AA310" s="47"/>
    </row>
    <row r="311" spans="1:27" ht="24" customHeight="1" x14ac:dyDescent="0.3">
      <c r="A311" s="39" t="s">
        <v>312</v>
      </c>
      <c r="B311" s="40" t="s">
        <v>313</v>
      </c>
      <c r="C311" s="55"/>
      <c r="D311" s="62"/>
      <c r="E311" s="21">
        <v>5600000</v>
      </c>
      <c r="F311" s="93">
        <v>2400000</v>
      </c>
      <c r="G311" s="21">
        <v>0</v>
      </c>
      <c r="H311" s="29">
        <f t="shared" si="187"/>
        <v>0</v>
      </c>
      <c r="I311" s="21">
        <v>0</v>
      </c>
      <c r="J311" s="21">
        <f t="shared" si="203"/>
        <v>0</v>
      </c>
      <c r="K311" s="29">
        <f t="shared" si="204"/>
        <v>0</v>
      </c>
      <c r="L311" s="21">
        <f t="shared" si="205"/>
        <v>2400000</v>
      </c>
      <c r="M311" s="29">
        <f t="shared" si="217"/>
        <v>100</v>
      </c>
      <c r="N311" s="21">
        <f t="shared" si="206"/>
        <v>5600000</v>
      </c>
      <c r="O311" s="29">
        <f t="shared" si="207"/>
        <v>100</v>
      </c>
      <c r="Q311" s="47"/>
      <c r="R311" s="47"/>
      <c r="S311" s="47"/>
      <c r="T311" s="47"/>
      <c r="U311" s="56"/>
      <c r="V311" s="47"/>
      <c r="W311" s="47"/>
      <c r="X311" s="47"/>
      <c r="Y311" s="47"/>
      <c r="Z311" s="47"/>
      <c r="AA311" s="47"/>
    </row>
    <row r="312" spans="1:27" ht="26.4" customHeight="1" x14ac:dyDescent="0.3">
      <c r="A312" s="39" t="s">
        <v>324</v>
      </c>
      <c r="B312" s="40" t="s">
        <v>325</v>
      </c>
      <c r="C312" s="55"/>
      <c r="D312" s="55"/>
      <c r="E312" s="21">
        <v>29500000</v>
      </c>
      <c r="F312" s="21">
        <v>0</v>
      </c>
      <c r="G312" s="21">
        <v>0</v>
      </c>
      <c r="H312" s="29">
        <v>0</v>
      </c>
      <c r="I312" s="21">
        <v>0</v>
      </c>
      <c r="J312" s="21">
        <f t="shared" si="203"/>
        <v>0</v>
      </c>
      <c r="K312" s="29">
        <v>0</v>
      </c>
      <c r="L312" s="21">
        <f>F312-J312</f>
        <v>0</v>
      </c>
      <c r="M312" s="29">
        <v>0</v>
      </c>
      <c r="N312" s="21">
        <f t="shared" si="206"/>
        <v>29500000</v>
      </c>
      <c r="O312" s="29">
        <f t="shared" si="207"/>
        <v>100</v>
      </c>
      <c r="Q312" s="47"/>
      <c r="R312" s="47"/>
      <c r="S312" s="47"/>
      <c r="T312" s="47"/>
      <c r="U312" s="56"/>
      <c r="V312" s="47"/>
      <c r="W312" s="47"/>
      <c r="X312" s="47"/>
      <c r="Y312" s="47"/>
      <c r="Z312" s="47"/>
      <c r="AA312" s="47"/>
    </row>
    <row r="313" spans="1:27" ht="25.8" customHeight="1" x14ac:dyDescent="0.3">
      <c r="A313" s="39" t="s">
        <v>32</v>
      </c>
      <c r="B313" s="40" t="s">
        <v>16</v>
      </c>
      <c r="C313" s="55"/>
      <c r="D313" s="62"/>
      <c r="E313" s="21">
        <v>15720000</v>
      </c>
      <c r="F313" s="94">
        <v>4800000</v>
      </c>
      <c r="G313" s="21">
        <v>0</v>
      </c>
      <c r="H313" s="29">
        <f t="shared" si="187"/>
        <v>0</v>
      </c>
      <c r="I313" s="21">
        <v>0</v>
      </c>
      <c r="J313" s="21">
        <f t="shared" si="203"/>
        <v>0</v>
      </c>
      <c r="K313" s="29">
        <f t="shared" si="204"/>
        <v>0</v>
      </c>
      <c r="L313" s="21">
        <f>F313-J313</f>
        <v>4800000</v>
      </c>
      <c r="M313" s="29">
        <f>L313/F313*100</f>
        <v>100</v>
      </c>
      <c r="N313" s="21">
        <f t="shared" si="206"/>
        <v>15720000</v>
      </c>
      <c r="O313" s="29">
        <f t="shared" si="207"/>
        <v>100</v>
      </c>
      <c r="Q313" s="47"/>
      <c r="R313" s="47"/>
      <c r="S313" s="47"/>
      <c r="T313" s="47"/>
      <c r="U313" s="56"/>
      <c r="V313" s="47"/>
      <c r="W313" s="47"/>
      <c r="X313" s="47"/>
      <c r="Y313" s="47"/>
      <c r="Z313" s="47"/>
      <c r="AA313" s="47"/>
    </row>
    <row r="314" spans="1:27" ht="28.8" customHeight="1" x14ac:dyDescent="0.3">
      <c r="A314" s="39" t="s">
        <v>33</v>
      </c>
      <c r="B314" s="40" t="s">
        <v>34</v>
      </c>
      <c r="C314" s="55"/>
      <c r="D314" s="62"/>
      <c r="E314" s="21">
        <v>24000000</v>
      </c>
      <c r="F314" s="93">
        <v>4000000</v>
      </c>
      <c r="G314" s="21">
        <v>0</v>
      </c>
      <c r="H314" s="29">
        <f t="shared" si="187"/>
        <v>0</v>
      </c>
      <c r="I314" s="21">
        <f>4000000</f>
        <v>4000000</v>
      </c>
      <c r="J314" s="65">
        <f t="shared" si="203"/>
        <v>4000000</v>
      </c>
      <c r="K314" s="29">
        <f t="shared" si="204"/>
        <v>100</v>
      </c>
      <c r="L314" s="21">
        <f t="shared" ref="L314:L327" si="218">F314-J314</f>
        <v>0</v>
      </c>
      <c r="M314" s="29">
        <f>L314/F314*100</f>
        <v>0</v>
      </c>
      <c r="N314" s="65">
        <f t="shared" si="206"/>
        <v>20000000</v>
      </c>
      <c r="O314" s="95">
        <f t="shared" si="207"/>
        <v>83.333333333333343</v>
      </c>
      <c r="Q314" s="47"/>
      <c r="R314" s="47"/>
      <c r="S314" s="47"/>
      <c r="T314" s="47"/>
      <c r="U314" s="56"/>
      <c r="V314" s="47"/>
      <c r="W314" s="47"/>
      <c r="X314" s="47"/>
      <c r="Y314" s="47"/>
      <c r="Z314" s="47"/>
      <c r="AA314" s="47"/>
    </row>
    <row r="315" spans="1:27" ht="23.4" customHeight="1" x14ac:dyDescent="0.3">
      <c r="A315" s="39" t="s">
        <v>52</v>
      </c>
      <c r="B315" s="40" t="s">
        <v>36</v>
      </c>
      <c r="C315" s="55"/>
      <c r="D315" s="55"/>
      <c r="E315" s="21">
        <f>SUM(E316:E318)</f>
        <v>83620000</v>
      </c>
      <c r="F315" s="93">
        <v>27960000</v>
      </c>
      <c r="G315" s="21">
        <f>SUM(G316:G318)</f>
        <v>0</v>
      </c>
      <c r="H315" s="29">
        <f t="shared" si="187"/>
        <v>0</v>
      </c>
      <c r="I315" s="21">
        <f>SUM(I316:I318)</f>
        <v>14901005</v>
      </c>
      <c r="J315" s="21">
        <f t="shared" si="203"/>
        <v>14901005</v>
      </c>
      <c r="K315" s="29">
        <f t="shared" si="204"/>
        <v>53.294009298998567</v>
      </c>
      <c r="L315" s="21">
        <f t="shared" si="218"/>
        <v>13058995</v>
      </c>
      <c r="M315" s="29">
        <f t="shared" ref="M315" si="219">L315/F315*100</f>
        <v>46.705990701001433</v>
      </c>
      <c r="N315" s="21">
        <f t="shared" si="206"/>
        <v>68718995</v>
      </c>
      <c r="O315" s="29">
        <f t="shared" si="207"/>
        <v>82.180094475005987</v>
      </c>
      <c r="Q315" s="47"/>
      <c r="R315" s="47"/>
      <c r="S315" s="47"/>
      <c r="T315" s="47"/>
      <c r="U315" s="56"/>
      <c r="V315" s="47"/>
      <c r="W315" s="47"/>
      <c r="X315" s="47"/>
      <c r="Y315" s="47"/>
      <c r="Z315" s="47"/>
      <c r="AA315" s="47"/>
    </row>
    <row r="316" spans="1:27" ht="24.6" customHeight="1" x14ac:dyDescent="0.3">
      <c r="A316" s="39"/>
      <c r="B316" s="40" t="s">
        <v>331</v>
      </c>
      <c r="C316" s="55"/>
      <c r="D316" s="55"/>
      <c r="E316" s="21">
        <v>48960000</v>
      </c>
      <c r="F316" s="93"/>
      <c r="G316" s="21">
        <v>0</v>
      </c>
      <c r="H316" s="29"/>
      <c r="I316" s="21">
        <v>0</v>
      </c>
      <c r="J316" s="21">
        <f t="shared" si="203"/>
        <v>0</v>
      </c>
      <c r="K316" s="29"/>
      <c r="L316" s="21"/>
      <c r="M316" s="29"/>
      <c r="N316" s="21">
        <f t="shared" si="206"/>
        <v>48960000</v>
      </c>
      <c r="O316" s="29">
        <f t="shared" si="207"/>
        <v>100</v>
      </c>
      <c r="Q316" s="47"/>
      <c r="R316" s="47"/>
      <c r="S316" s="47"/>
      <c r="T316" s="47"/>
      <c r="U316" s="56"/>
      <c r="V316" s="47"/>
      <c r="W316" s="47"/>
      <c r="X316" s="47"/>
      <c r="Y316" s="47"/>
      <c r="Z316" s="47"/>
      <c r="AA316" s="47"/>
    </row>
    <row r="317" spans="1:27" ht="24.6" customHeight="1" x14ac:dyDescent="0.3">
      <c r="A317" s="39"/>
      <c r="B317" s="40" t="s">
        <v>334</v>
      </c>
      <c r="C317" s="55"/>
      <c r="D317" s="55"/>
      <c r="E317" s="21">
        <v>11080000</v>
      </c>
      <c r="F317" s="93"/>
      <c r="G317" s="21">
        <v>0</v>
      </c>
      <c r="H317" s="29"/>
      <c r="I317" s="21">
        <f>8200005+6701000</f>
        <v>14901005</v>
      </c>
      <c r="J317" s="21">
        <f t="shared" si="203"/>
        <v>14901005</v>
      </c>
      <c r="K317" s="29"/>
      <c r="L317" s="21"/>
      <c r="M317" s="29"/>
      <c r="N317" s="100">
        <f t="shared" si="206"/>
        <v>-3821005</v>
      </c>
      <c r="O317" s="101">
        <f t="shared" si="207"/>
        <v>-34.485604693140793</v>
      </c>
      <c r="Q317" s="47"/>
      <c r="R317" s="47"/>
      <c r="S317" s="47"/>
      <c r="T317" s="47"/>
      <c r="U317" s="56"/>
      <c r="V317" s="47"/>
      <c r="W317" s="47"/>
      <c r="X317" s="47"/>
      <c r="Y317" s="47"/>
      <c r="Z317" s="47"/>
      <c r="AA317" s="47"/>
    </row>
    <row r="318" spans="1:27" ht="22.2" customHeight="1" x14ac:dyDescent="0.3">
      <c r="A318" s="39"/>
      <c r="B318" s="40" t="s">
        <v>335</v>
      </c>
      <c r="C318" s="55"/>
      <c r="D318" s="55"/>
      <c r="E318" s="21">
        <v>23580000</v>
      </c>
      <c r="F318" s="93"/>
      <c r="G318" s="21">
        <v>0</v>
      </c>
      <c r="H318" s="29"/>
      <c r="I318" s="21">
        <v>0</v>
      </c>
      <c r="J318" s="21">
        <f t="shared" si="203"/>
        <v>0</v>
      </c>
      <c r="K318" s="29"/>
      <c r="L318" s="21"/>
      <c r="M318" s="29"/>
      <c r="N318" s="21">
        <f t="shared" si="206"/>
        <v>23580000</v>
      </c>
      <c r="O318" s="29">
        <f t="shared" si="207"/>
        <v>100</v>
      </c>
      <c r="Q318" s="47"/>
      <c r="R318" s="47"/>
      <c r="S318" s="47"/>
      <c r="T318" s="47"/>
      <c r="U318" s="56"/>
      <c r="V318" s="47"/>
      <c r="W318" s="47"/>
      <c r="X318" s="47"/>
      <c r="Y318" s="47"/>
      <c r="Z318" s="47"/>
      <c r="AA318" s="47"/>
    </row>
    <row r="319" spans="1:27" ht="20.399999999999999" customHeight="1" x14ac:dyDescent="0.3">
      <c r="A319" s="57"/>
      <c r="B319" s="13"/>
      <c r="C319" s="12"/>
      <c r="D319" s="15"/>
      <c r="E319" s="14"/>
      <c r="F319" s="14"/>
      <c r="G319" s="19"/>
      <c r="H319" s="28"/>
      <c r="I319" s="19"/>
      <c r="J319" s="19"/>
      <c r="K319" s="28"/>
      <c r="L319" s="22"/>
      <c r="M319" s="32"/>
      <c r="N319" s="19"/>
      <c r="O319" s="28"/>
      <c r="Q319" s="47"/>
      <c r="R319" s="47"/>
      <c r="S319" s="47"/>
      <c r="T319" s="47"/>
      <c r="U319" s="56"/>
      <c r="V319" s="47"/>
      <c r="W319" s="47"/>
      <c r="X319" s="47"/>
      <c r="Y319" s="47"/>
      <c r="Z319" s="47"/>
      <c r="AA319" s="47"/>
    </row>
    <row r="320" spans="1:27" ht="38.4" customHeight="1" x14ac:dyDescent="0.3">
      <c r="A320" s="87" t="s">
        <v>151</v>
      </c>
      <c r="B320" s="11" t="s">
        <v>152</v>
      </c>
      <c r="C320" s="12" t="s">
        <v>292</v>
      </c>
      <c r="D320" s="15" t="s">
        <v>15</v>
      </c>
      <c r="E320" s="20">
        <f>SUM(E321:E327)</f>
        <v>225039600</v>
      </c>
      <c r="F320" s="20">
        <f>SUM(F321:F327)</f>
        <v>64156600</v>
      </c>
      <c r="G320" s="20">
        <f>SUM(G321:G327)</f>
        <v>0</v>
      </c>
      <c r="H320" s="32">
        <f t="shared" si="187"/>
        <v>0</v>
      </c>
      <c r="I320" s="20">
        <f>SUM(I321:I327)</f>
        <v>9491500</v>
      </c>
      <c r="J320" s="22">
        <f t="shared" si="203"/>
        <v>9491500</v>
      </c>
      <c r="K320" s="28">
        <f t="shared" ref="K320:K321" si="220">J320/F320*100</f>
        <v>14.794269022984386</v>
      </c>
      <c r="L320" s="22">
        <f t="shared" ref="L320:L321" si="221">F320-J320</f>
        <v>54665100</v>
      </c>
      <c r="M320" s="32">
        <f t="shared" ref="M320:M327" si="222">L320/F320*100</f>
        <v>85.205730977015619</v>
      </c>
      <c r="N320" s="19">
        <f t="shared" ref="N320:N369" si="223">E320-J320</f>
        <v>215548100</v>
      </c>
      <c r="O320" s="28">
        <f t="shared" ref="O320:O369" si="224">N320/E320*100</f>
        <v>95.78229787113024</v>
      </c>
      <c r="Q320" s="47"/>
      <c r="R320" s="47"/>
      <c r="S320" s="47"/>
      <c r="T320" s="47"/>
      <c r="U320" s="56"/>
      <c r="V320" s="47"/>
      <c r="W320" s="47"/>
      <c r="X320" s="47"/>
      <c r="Y320" s="47"/>
      <c r="Z320" s="47"/>
      <c r="AA320" s="47"/>
    </row>
    <row r="321" spans="1:27" ht="35.4" customHeight="1" x14ac:dyDescent="0.3">
      <c r="A321" s="39" t="s">
        <v>28</v>
      </c>
      <c r="B321" s="40" t="s">
        <v>74</v>
      </c>
      <c r="C321" s="40"/>
      <c r="D321" s="51"/>
      <c r="E321" s="21">
        <v>3114600</v>
      </c>
      <c r="F321" s="93">
        <v>1307600</v>
      </c>
      <c r="G321" s="21">
        <v>0</v>
      </c>
      <c r="H321" s="29">
        <f t="shared" si="187"/>
        <v>0</v>
      </c>
      <c r="I321" s="21">
        <v>0</v>
      </c>
      <c r="J321" s="21">
        <f t="shared" si="203"/>
        <v>0</v>
      </c>
      <c r="K321" s="29">
        <f t="shared" si="220"/>
        <v>0</v>
      </c>
      <c r="L321" s="21">
        <f t="shared" si="221"/>
        <v>1307600</v>
      </c>
      <c r="M321" s="29">
        <f t="shared" si="222"/>
        <v>100</v>
      </c>
      <c r="N321" s="21">
        <f t="shared" si="223"/>
        <v>3114600</v>
      </c>
      <c r="O321" s="29">
        <f t="shared" si="224"/>
        <v>100</v>
      </c>
      <c r="Q321" s="47"/>
      <c r="R321" s="47"/>
      <c r="S321" s="47"/>
      <c r="T321" s="47"/>
      <c r="U321" s="56"/>
      <c r="V321" s="47"/>
      <c r="W321" s="47"/>
      <c r="X321" s="47"/>
      <c r="Y321" s="47"/>
      <c r="Z321" s="47"/>
      <c r="AA321" s="47"/>
    </row>
    <row r="322" spans="1:27" ht="28.2" customHeight="1" x14ac:dyDescent="0.3">
      <c r="A322" s="39" t="s">
        <v>311</v>
      </c>
      <c r="B322" s="40" t="s">
        <v>315</v>
      </c>
      <c r="C322" s="40"/>
      <c r="D322" s="51"/>
      <c r="E322" s="21">
        <v>6869000</v>
      </c>
      <c r="F322" s="93">
        <v>3595000</v>
      </c>
      <c r="G322" s="21">
        <v>0</v>
      </c>
      <c r="H322" s="29">
        <f t="shared" si="187"/>
        <v>0</v>
      </c>
      <c r="I322" s="21">
        <v>0</v>
      </c>
      <c r="J322" s="21">
        <f t="shared" si="203"/>
        <v>0</v>
      </c>
      <c r="K322" s="29">
        <f t="shared" si="204"/>
        <v>0</v>
      </c>
      <c r="L322" s="21">
        <f t="shared" si="218"/>
        <v>3595000</v>
      </c>
      <c r="M322" s="29">
        <f t="shared" si="222"/>
        <v>100</v>
      </c>
      <c r="N322" s="21">
        <f t="shared" si="223"/>
        <v>6869000</v>
      </c>
      <c r="O322" s="29">
        <f t="shared" si="224"/>
        <v>100</v>
      </c>
      <c r="Q322" s="47"/>
      <c r="R322" s="47"/>
      <c r="S322" s="47"/>
      <c r="T322" s="47"/>
      <c r="U322" s="56"/>
      <c r="V322" s="47"/>
      <c r="W322" s="47"/>
      <c r="X322" s="47"/>
      <c r="Y322" s="47"/>
      <c r="Z322" s="47"/>
      <c r="AA322" s="47"/>
    </row>
    <row r="323" spans="1:27" ht="29.4" customHeight="1" x14ac:dyDescent="0.3">
      <c r="A323" s="39" t="s">
        <v>31</v>
      </c>
      <c r="B323" s="40" t="s">
        <v>75</v>
      </c>
      <c r="C323" s="55"/>
      <c r="D323" s="55"/>
      <c r="E323" s="21">
        <v>3106000</v>
      </c>
      <c r="F323" s="93">
        <v>754000</v>
      </c>
      <c r="G323" s="21">
        <v>0</v>
      </c>
      <c r="H323" s="29">
        <f t="shared" si="187"/>
        <v>0</v>
      </c>
      <c r="I323" s="21">
        <v>0</v>
      </c>
      <c r="J323" s="21">
        <f t="shared" si="203"/>
        <v>0</v>
      </c>
      <c r="K323" s="29">
        <f t="shared" si="204"/>
        <v>0</v>
      </c>
      <c r="L323" s="21">
        <f t="shared" si="218"/>
        <v>754000</v>
      </c>
      <c r="M323" s="29">
        <f t="shared" si="222"/>
        <v>100</v>
      </c>
      <c r="N323" s="21">
        <f t="shared" si="223"/>
        <v>3106000</v>
      </c>
      <c r="O323" s="29">
        <f t="shared" si="224"/>
        <v>100</v>
      </c>
      <c r="Q323" s="47"/>
      <c r="R323" s="47"/>
      <c r="S323" s="47"/>
      <c r="T323" s="47"/>
      <c r="U323" s="56"/>
      <c r="V323" s="47"/>
      <c r="W323" s="47"/>
      <c r="X323" s="47"/>
      <c r="Y323" s="47"/>
      <c r="Z323" s="47"/>
      <c r="AA323" s="47"/>
    </row>
    <row r="324" spans="1:27" ht="31.8" customHeight="1" x14ac:dyDescent="0.3">
      <c r="A324" s="39" t="s">
        <v>312</v>
      </c>
      <c r="B324" s="40" t="s">
        <v>313</v>
      </c>
      <c r="C324" s="40"/>
      <c r="D324" s="40"/>
      <c r="E324" s="21">
        <v>18000000</v>
      </c>
      <c r="F324" s="93">
        <v>2400000</v>
      </c>
      <c r="G324" s="21">
        <v>0</v>
      </c>
      <c r="H324" s="29">
        <f t="shared" si="187"/>
        <v>0</v>
      </c>
      <c r="I324" s="21">
        <v>0</v>
      </c>
      <c r="J324" s="21">
        <f t="shared" si="203"/>
        <v>0</v>
      </c>
      <c r="K324" s="29">
        <f t="shared" si="204"/>
        <v>0</v>
      </c>
      <c r="L324" s="21">
        <f t="shared" si="218"/>
        <v>2400000</v>
      </c>
      <c r="M324" s="29">
        <f t="shared" si="222"/>
        <v>100</v>
      </c>
      <c r="N324" s="21">
        <f t="shared" si="223"/>
        <v>18000000</v>
      </c>
      <c r="O324" s="29">
        <f t="shared" si="224"/>
        <v>100</v>
      </c>
      <c r="Q324" s="47"/>
      <c r="R324" s="47"/>
      <c r="S324" s="47"/>
      <c r="T324" s="47"/>
      <c r="U324" s="56"/>
      <c r="V324" s="47"/>
      <c r="W324" s="47"/>
      <c r="X324" s="47"/>
      <c r="Y324" s="47"/>
      <c r="Z324" s="47"/>
      <c r="AA324" s="47"/>
    </row>
    <row r="325" spans="1:27" ht="27.6" customHeight="1" x14ac:dyDescent="0.3">
      <c r="A325" s="39" t="s">
        <v>32</v>
      </c>
      <c r="B325" s="40" t="s">
        <v>16</v>
      </c>
      <c r="C325" s="55"/>
      <c r="D325" s="62"/>
      <c r="E325" s="21">
        <v>7200000</v>
      </c>
      <c r="F325" s="93">
        <v>2100000</v>
      </c>
      <c r="G325" s="21">
        <v>0</v>
      </c>
      <c r="H325" s="29">
        <f t="shared" si="187"/>
        <v>0</v>
      </c>
      <c r="I325" s="21"/>
      <c r="J325" s="21">
        <f t="shared" si="203"/>
        <v>0</v>
      </c>
      <c r="K325" s="29">
        <f t="shared" si="204"/>
        <v>0</v>
      </c>
      <c r="L325" s="21">
        <f t="shared" si="218"/>
        <v>2100000</v>
      </c>
      <c r="M325" s="29">
        <f t="shared" si="222"/>
        <v>100</v>
      </c>
      <c r="N325" s="21">
        <f t="shared" si="223"/>
        <v>7200000</v>
      </c>
      <c r="O325" s="29">
        <f t="shared" si="224"/>
        <v>100</v>
      </c>
      <c r="Q325" s="47"/>
      <c r="R325" s="47"/>
      <c r="S325" s="47"/>
      <c r="T325" s="47"/>
      <c r="U325" s="56"/>
      <c r="V325" s="47"/>
      <c r="W325" s="47"/>
      <c r="X325" s="47"/>
      <c r="Y325" s="47"/>
      <c r="Z325" s="47"/>
      <c r="AA325" s="47"/>
    </row>
    <row r="326" spans="1:27" ht="25.8" customHeight="1" x14ac:dyDescent="0.3">
      <c r="A326" s="39" t="s">
        <v>33</v>
      </c>
      <c r="B326" s="40" t="s">
        <v>34</v>
      </c>
      <c r="C326" s="55"/>
      <c r="D326" s="62"/>
      <c r="E326" s="21">
        <v>24000000</v>
      </c>
      <c r="F326" s="93">
        <v>4000000</v>
      </c>
      <c r="G326" s="21">
        <v>0</v>
      </c>
      <c r="H326" s="29">
        <f t="shared" si="187"/>
        <v>0</v>
      </c>
      <c r="I326" s="21">
        <f>4000000</f>
        <v>4000000</v>
      </c>
      <c r="J326" s="21">
        <f t="shared" si="203"/>
        <v>4000000</v>
      </c>
      <c r="K326" s="29">
        <f t="shared" si="204"/>
        <v>100</v>
      </c>
      <c r="L326" s="21">
        <f t="shared" si="218"/>
        <v>0</v>
      </c>
      <c r="M326" s="29">
        <f t="shared" si="222"/>
        <v>0</v>
      </c>
      <c r="N326" s="21">
        <f t="shared" si="223"/>
        <v>20000000</v>
      </c>
      <c r="O326" s="29">
        <f t="shared" si="224"/>
        <v>83.333333333333343</v>
      </c>
      <c r="Q326" s="47"/>
      <c r="R326" s="47"/>
      <c r="S326" s="47"/>
      <c r="T326" s="47"/>
      <c r="U326" s="56"/>
      <c r="V326" s="47"/>
      <c r="W326" s="47"/>
      <c r="X326" s="47"/>
      <c r="Y326" s="47"/>
      <c r="Z326" s="47"/>
      <c r="AA326" s="47"/>
    </row>
    <row r="327" spans="1:27" ht="23.4" customHeight="1" x14ac:dyDescent="0.3">
      <c r="A327" s="39" t="s">
        <v>52</v>
      </c>
      <c r="B327" s="40" t="s">
        <v>63</v>
      </c>
      <c r="C327" s="40"/>
      <c r="D327" s="51"/>
      <c r="E327" s="21">
        <f>SUM(E328:E330)</f>
        <v>162750000</v>
      </c>
      <c r="F327" s="93">
        <v>50000000</v>
      </c>
      <c r="G327" s="21">
        <f>SUM(G328:G330)</f>
        <v>0</v>
      </c>
      <c r="H327" s="29">
        <f t="shared" ref="H327" si="225">G327/F327*100</f>
        <v>0</v>
      </c>
      <c r="I327" s="21">
        <f>SUM(I328:I330)</f>
        <v>5491500</v>
      </c>
      <c r="J327" s="21">
        <f t="shared" si="203"/>
        <v>5491500</v>
      </c>
      <c r="K327" s="29">
        <f t="shared" si="204"/>
        <v>10.983000000000001</v>
      </c>
      <c r="L327" s="21">
        <f t="shared" si="218"/>
        <v>44508500</v>
      </c>
      <c r="M327" s="29">
        <f t="shared" si="222"/>
        <v>89.016999999999996</v>
      </c>
      <c r="N327" s="21">
        <f t="shared" si="223"/>
        <v>157258500</v>
      </c>
      <c r="O327" s="29">
        <f t="shared" si="224"/>
        <v>96.625806451612902</v>
      </c>
      <c r="Q327" s="47"/>
      <c r="R327" s="47"/>
      <c r="S327" s="47"/>
      <c r="T327" s="47"/>
      <c r="U327" s="56"/>
      <c r="V327" s="47"/>
      <c r="W327" s="47"/>
      <c r="X327" s="47"/>
      <c r="Y327" s="47"/>
      <c r="Z327" s="47"/>
      <c r="AA327" s="47"/>
    </row>
    <row r="328" spans="1:27" ht="25.8" customHeight="1" x14ac:dyDescent="0.3">
      <c r="A328" s="39"/>
      <c r="B328" s="40" t="s">
        <v>331</v>
      </c>
      <c r="C328" s="40"/>
      <c r="D328" s="51"/>
      <c r="E328" s="21">
        <f>9600000+80640000</f>
        <v>90240000</v>
      </c>
      <c r="F328" s="21"/>
      <c r="G328" s="21">
        <v>0</v>
      </c>
      <c r="H328" s="29"/>
      <c r="I328" s="21">
        <v>0</v>
      </c>
      <c r="J328" s="21">
        <f t="shared" ref="J328:J330" si="226">G328+I328</f>
        <v>0</v>
      </c>
      <c r="K328" s="29"/>
      <c r="L328" s="21"/>
      <c r="M328" s="29"/>
      <c r="N328" s="21">
        <f t="shared" si="223"/>
        <v>90240000</v>
      </c>
      <c r="O328" s="29">
        <f t="shared" si="224"/>
        <v>100</v>
      </c>
      <c r="Q328" s="47"/>
      <c r="R328" s="47"/>
      <c r="S328" s="47"/>
      <c r="T328" s="47"/>
      <c r="U328" s="56"/>
      <c r="V328" s="47"/>
      <c r="W328" s="47"/>
      <c r="X328" s="47"/>
      <c r="Y328" s="47"/>
      <c r="Z328" s="47"/>
      <c r="AA328" s="47"/>
    </row>
    <row r="329" spans="1:27" ht="25.8" customHeight="1" x14ac:dyDescent="0.3">
      <c r="A329" s="39"/>
      <c r="B329" s="40" t="s">
        <v>332</v>
      </c>
      <c r="C329" s="40"/>
      <c r="D329" s="51"/>
      <c r="E329" s="21">
        <f>9390000+16020000+15660000</f>
        <v>41070000</v>
      </c>
      <c r="F329" s="21"/>
      <c r="G329" s="21">
        <v>0</v>
      </c>
      <c r="H329" s="29"/>
      <c r="I329" s="21">
        <f>5491500</f>
        <v>5491500</v>
      </c>
      <c r="J329" s="21">
        <f t="shared" si="226"/>
        <v>5491500</v>
      </c>
      <c r="K329" s="29"/>
      <c r="L329" s="21"/>
      <c r="M329" s="29"/>
      <c r="N329" s="21">
        <f t="shared" si="223"/>
        <v>35578500</v>
      </c>
      <c r="O329" s="29">
        <f t="shared" si="224"/>
        <v>86.628926223520821</v>
      </c>
      <c r="Q329" s="47"/>
      <c r="R329" s="47"/>
      <c r="S329" s="47"/>
      <c r="T329" s="47"/>
      <c r="U329" s="56"/>
      <c r="V329" s="47"/>
      <c r="W329" s="47"/>
      <c r="X329" s="47"/>
      <c r="Y329" s="47"/>
      <c r="Z329" s="47"/>
      <c r="AA329" s="47"/>
    </row>
    <row r="330" spans="1:27" ht="25.8" customHeight="1" x14ac:dyDescent="0.3">
      <c r="A330" s="39"/>
      <c r="B330" s="40" t="s">
        <v>333</v>
      </c>
      <c r="C330" s="40"/>
      <c r="D330" s="51"/>
      <c r="E330" s="21">
        <f>8410000+15720000+7310000</f>
        <v>31440000</v>
      </c>
      <c r="F330" s="21"/>
      <c r="G330" s="21">
        <v>0</v>
      </c>
      <c r="H330" s="29"/>
      <c r="I330" s="21">
        <v>0</v>
      </c>
      <c r="J330" s="21">
        <f t="shared" si="226"/>
        <v>0</v>
      </c>
      <c r="K330" s="29"/>
      <c r="L330" s="21"/>
      <c r="M330" s="29"/>
      <c r="N330" s="21">
        <f t="shared" si="223"/>
        <v>31440000</v>
      </c>
      <c r="O330" s="29">
        <f t="shared" si="224"/>
        <v>100</v>
      </c>
      <c r="Q330" s="47"/>
      <c r="R330" s="47"/>
      <c r="S330" s="47"/>
      <c r="T330" s="47"/>
      <c r="U330" s="56"/>
      <c r="V330" s="47"/>
      <c r="W330" s="47"/>
      <c r="X330" s="47"/>
      <c r="Y330" s="47"/>
      <c r="Z330" s="47"/>
      <c r="AA330" s="47"/>
    </row>
    <row r="331" spans="1:27" ht="18" customHeight="1" x14ac:dyDescent="0.3">
      <c r="A331" s="57"/>
      <c r="B331" s="13"/>
      <c r="C331" s="40"/>
      <c r="D331" s="51"/>
      <c r="E331" s="14"/>
      <c r="F331" s="14"/>
      <c r="G331" s="21"/>
      <c r="H331" s="30"/>
      <c r="I331" s="21"/>
      <c r="J331" s="21"/>
      <c r="K331" s="28"/>
      <c r="L331" s="21"/>
      <c r="M331" s="32"/>
      <c r="N331" s="21"/>
      <c r="O331" s="29"/>
      <c r="Q331" s="47"/>
      <c r="R331" s="47"/>
      <c r="S331" s="47"/>
      <c r="T331" s="47"/>
      <c r="U331" s="56"/>
      <c r="V331" s="47"/>
      <c r="W331" s="47"/>
      <c r="X331" s="47"/>
      <c r="Y331" s="47"/>
      <c r="Z331" s="47"/>
      <c r="AA331" s="47"/>
    </row>
    <row r="332" spans="1:27" ht="50.4" customHeight="1" x14ac:dyDescent="0.3">
      <c r="A332" s="87" t="s">
        <v>153</v>
      </c>
      <c r="B332" s="11" t="s">
        <v>154</v>
      </c>
      <c r="C332" s="12" t="s">
        <v>336</v>
      </c>
      <c r="D332" s="15" t="s">
        <v>15</v>
      </c>
      <c r="E332" s="20">
        <f>SUM(E333:E338)+SUM(E343:E344)</f>
        <v>1037856000</v>
      </c>
      <c r="F332" s="20">
        <f>SUM(F333:F344)</f>
        <v>137521000</v>
      </c>
      <c r="G332" s="20">
        <f>SUM(G333:G338)+SUM(G343:G344)</f>
        <v>0</v>
      </c>
      <c r="H332" s="28">
        <f t="shared" ref="H332:H390" si="227">G332/F332*100</f>
        <v>0</v>
      </c>
      <c r="I332" s="20">
        <f>SUM(I333:I338)+SUM(I343:I344)</f>
        <v>24735010</v>
      </c>
      <c r="J332" s="19">
        <f t="shared" ref="J332" si="228">G332+I332</f>
        <v>24735010</v>
      </c>
      <c r="K332" s="28">
        <f t="shared" ref="K332" si="229">J332/F332*100</f>
        <v>17.986351175456839</v>
      </c>
      <c r="L332" s="22">
        <f t="shared" ref="L332:L344" si="230">F332-J332</f>
        <v>112785990</v>
      </c>
      <c r="M332" s="32">
        <f t="shared" ref="M332:M344" si="231">L332/F332*100</f>
        <v>82.013648824543168</v>
      </c>
      <c r="N332" s="19">
        <f t="shared" ref="N332" si="232">E332-J332</f>
        <v>1013120990</v>
      </c>
      <c r="O332" s="28">
        <f t="shared" ref="O332" si="233">N332/E332*100</f>
        <v>97.616720431350785</v>
      </c>
      <c r="Q332" s="47"/>
      <c r="R332" s="47"/>
      <c r="S332" s="47"/>
      <c r="T332" s="47"/>
      <c r="U332" s="56"/>
      <c r="V332" s="47"/>
      <c r="W332" s="47"/>
      <c r="X332" s="47"/>
      <c r="Y332" s="47"/>
      <c r="Z332" s="47"/>
      <c r="AA332" s="47"/>
    </row>
    <row r="333" spans="1:27" ht="26.4" customHeight="1" x14ac:dyDescent="0.3">
      <c r="A333" s="39" t="s">
        <v>28</v>
      </c>
      <c r="B333" s="40" t="s">
        <v>74</v>
      </c>
      <c r="C333" s="55"/>
      <c r="D333" s="62"/>
      <c r="E333" s="21">
        <v>1311000</v>
      </c>
      <c r="F333" s="93">
        <v>1311000</v>
      </c>
      <c r="G333" s="21">
        <v>0</v>
      </c>
      <c r="H333" s="29">
        <f t="shared" si="227"/>
        <v>0</v>
      </c>
      <c r="I333" s="21">
        <v>0</v>
      </c>
      <c r="J333" s="21">
        <f t="shared" si="203"/>
        <v>0</v>
      </c>
      <c r="K333" s="29">
        <f t="shared" si="204"/>
        <v>0</v>
      </c>
      <c r="L333" s="21">
        <f t="shared" si="230"/>
        <v>1311000</v>
      </c>
      <c r="M333" s="29">
        <f t="shared" si="231"/>
        <v>100</v>
      </c>
      <c r="N333" s="21">
        <f t="shared" si="223"/>
        <v>1311000</v>
      </c>
      <c r="O333" s="29">
        <f t="shared" si="224"/>
        <v>100</v>
      </c>
      <c r="Q333" s="47"/>
      <c r="R333" s="47"/>
      <c r="S333" s="47"/>
      <c r="T333" s="47"/>
      <c r="U333" s="56"/>
      <c r="V333" s="47"/>
      <c r="W333" s="47"/>
      <c r="X333" s="47"/>
      <c r="Y333" s="47"/>
      <c r="Z333" s="47"/>
      <c r="AA333" s="47"/>
    </row>
    <row r="334" spans="1:27" ht="19.2" customHeight="1" x14ac:dyDescent="0.3">
      <c r="A334" s="39" t="s">
        <v>311</v>
      </c>
      <c r="B334" s="40" t="s">
        <v>315</v>
      </c>
      <c r="C334" s="55"/>
      <c r="D334" s="55"/>
      <c r="E334" s="21">
        <v>8645000</v>
      </c>
      <c r="F334" s="93">
        <v>2500000</v>
      </c>
      <c r="G334" s="21">
        <v>0</v>
      </c>
      <c r="H334" s="29">
        <f t="shared" si="227"/>
        <v>0</v>
      </c>
      <c r="I334" s="21">
        <v>0</v>
      </c>
      <c r="J334" s="21">
        <f t="shared" si="203"/>
        <v>0</v>
      </c>
      <c r="K334" s="29">
        <f t="shared" si="204"/>
        <v>0</v>
      </c>
      <c r="L334" s="21">
        <f t="shared" si="230"/>
        <v>2500000</v>
      </c>
      <c r="M334" s="29">
        <f t="shared" si="231"/>
        <v>100</v>
      </c>
      <c r="N334" s="21">
        <f t="shared" si="223"/>
        <v>8645000</v>
      </c>
      <c r="O334" s="29">
        <f t="shared" si="224"/>
        <v>100</v>
      </c>
      <c r="Q334" s="47"/>
      <c r="R334" s="47"/>
      <c r="S334" s="47"/>
      <c r="T334" s="47"/>
      <c r="U334" s="56"/>
      <c r="V334" s="47"/>
      <c r="W334" s="47"/>
      <c r="X334" s="47"/>
      <c r="Y334" s="47"/>
      <c r="Z334" s="47"/>
      <c r="AA334" s="47"/>
    </row>
    <row r="335" spans="1:27" ht="18.600000000000001" customHeight="1" x14ac:dyDescent="0.3">
      <c r="A335" s="39" t="s">
        <v>31</v>
      </c>
      <c r="B335" s="40" t="s">
        <v>75</v>
      </c>
      <c r="C335" s="55"/>
      <c r="D335" s="62"/>
      <c r="E335" s="21">
        <v>127700000</v>
      </c>
      <c r="F335" s="93">
        <v>89960000</v>
      </c>
      <c r="G335" s="21">
        <v>0</v>
      </c>
      <c r="H335" s="29">
        <f t="shared" si="227"/>
        <v>0</v>
      </c>
      <c r="I335" s="21">
        <v>0</v>
      </c>
      <c r="J335" s="21">
        <f>G335+I335</f>
        <v>0</v>
      </c>
      <c r="K335" s="29">
        <f t="shared" si="204"/>
        <v>0</v>
      </c>
      <c r="L335" s="21">
        <f t="shared" si="230"/>
        <v>89960000</v>
      </c>
      <c r="M335" s="29">
        <f t="shared" si="231"/>
        <v>100</v>
      </c>
      <c r="N335" s="21">
        <f t="shared" si="223"/>
        <v>127700000</v>
      </c>
      <c r="O335" s="29">
        <f t="shared" si="224"/>
        <v>100</v>
      </c>
      <c r="Q335" s="47"/>
      <c r="R335" s="47"/>
      <c r="S335" s="47"/>
      <c r="T335" s="47"/>
      <c r="U335" s="56"/>
      <c r="V335" s="47"/>
      <c r="W335" s="47"/>
      <c r="X335" s="47"/>
      <c r="Y335" s="47"/>
      <c r="Z335" s="47"/>
      <c r="AA335" s="47"/>
    </row>
    <row r="336" spans="1:27" ht="22.8" customHeight="1" x14ac:dyDescent="0.3">
      <c r="A336" s="39" t="s">
        <v>312</v>
      </c>
      <c r="B336" s="40" t="s">
        <v>313</v>
      </c>
      <c r="C336" s="40"/>
      <c r="D336" s="51"/>
      <c r="E336" s="21">
        <v>35050000</v>
      </c>
      <c r="F336" s="93">
        <v>2500000</v>
      </c>
      <c r="G336" s="21">
        <v>0</v>
      </c>
      <c r="H336" s="29">
        <f t="shared" si="227"/>
        <v>0</v>
      </c>
      <c r="I336" s="21">
        <v>0</v>
      </c>
      <c r="J336" s="21">
        <f>G336+I336</f>
        <v>0</v>
      </c>
      <c r="K336" s="29">
        <f t="shared" si="204"/>
        <v>0</v>
      </c>
      <c r="L336" s="21">
        <f t="shared" si="230"/>
        <v>2500000</v>
      </c>
      <c r="M336" s="29">
        <f t="shared" si="231"/>
        <v>100</v>
      </c>
      <c r="N336" s="21">
        <f t="shared" si="223"/>
        <v>35050000</v>
      </c>
      <c r="O336" s="29">
        <f t="shared" si="224"/>
        <v>100</v>
      </c>
      <c r="Q336" s="47"/>
      <c r="R336" s="47"/>
      <c r="S336" s="47"/>
      <c r="T336" s="47"/>
      <c r="U336" s="56"/>
      <c r="V336" s="47"/>
      <c r="W336" s="47"/>
      <c r="X336" s="47"/>
      <c r="Y336" s="47"/>
      <c r="Z336" s="47"/>
      <c r="AA336" s="47"/>
    </row>
    <row r="337" spans="1:27" ht="21" customHeight="1" x14ac:dyDescent="0.3">
      <c r="A337" s="39" t="s">
        <v>32</v>
      </c>
      <c r="B337" s="40" t="s">
        <v>16</v>
      </c>
      <c r="C337" s="40"/>
      <c r="D337" s="51"/>
      <c r="E337" s="21">
        <v>8740000</v>
      </c>
      <c r="F337" s="93">
        <v>3250000</v>
      </c>
      <c r="G337" s="21">
        <v>0</v>
      </c>
      <c r="H337" s="29">
        <f t="shared" si="227"/>
        <v>0</v>
      </c>
      <c r="I337" s="21">
        <v>0</v>
      </c>
      <c r="J337" s="21">
        <f>G337+I337</f>
        <v>0</v>
      </c>
      <c r="K337" s="29">
        <f t="shared" si="204"/>
        <v>0</v>
      </c>
      <c r="L337" s="21">
        <f t="shared" si="230"/>
        <v>3250000</v>
      </c>
      <c r="M337" s="29">
        <f t="shared" si="231"/>
        <v>100</v>
      </c>
      <c r="N337" s="21">
        <f>E337-J337</f>
        <v>8740000</v>
      </c>
      <c r="O337" s="29">
        <f t="shared" si="224"/>
        <v>100</v>
      </c>
      <c r="P337" s="80"/>
      <c r="Q337" s="47"/>
      <c r="R337" s="47"/>
      <c r="S337" s="47"/>
      <c r="T337" s="47"/>
      <c r="U337" s="56"/>
      <c r="V337" s="47"/>
      <c r="W337" s="47"/>
      <c r="X337" s="47"/>
      <c r="Y337" s="47"/>
      <c r="Z337" s="47"/>
      <c r="AA337" s="47"/>
    </row>
    <row r="338" spans="1:27" ht="19.2" customHeight="1" x14ac:dyDescent="0.3">
      <c r="A338" s="39" t="s">
        <v>33</v>
      </c>
      <c r="B338" s="40" t="s">
        <v>34</v>
      </c>
      <c r="C338" s="55"/>
      <c r="D338" s="62"/>
      <c r="E338" s="21">
        <f>SUM(E339:E342)</f>
        <v>446250000</v>
      </c>
      <c r="F338" s="93">
        <v>18000000</v>
      </c>
      <c r="G338" s="21">
        <f>SUM(G339:G342)</f>
        <v>0</v>
      </c>
      <c r="H338" s="29">
        <f t="shared" si="227"/>
        <v>0</v>
      </c>
      <c r="I338" s="21">
        <f>SUM(I339:I342)</f>
        <v>8000000</v>
      </c>
      <c r="J338" s="21">
        <f t="shared" si="203"/>
        <v>8000000</v>
      </c>
      <c r="K338" s="29">
        <f t="shared" si="204"/>
        <v>44.444444444444443</v>
      </c>
      <c r="L338" s="21">
        <f t="shared" si="230"/>
        <v>10000000</v>
      </c>
      <c r="M338" s="29">
        <f t="shared" si="231"/>
        <v>55.555555555555557</v>
      </c>
      <c r="N338" s="21">
        <f t="shared" si="223"/>
        <v>438250000</v>
      </c>
      <c r="O338" s="29">
        <f t="shared" si="224"/>
        <v>98.207282913165258</v>
      </c>
      <c r="Q338" s="47"/>
      <c r="R338" s="47"/>
      <c r="S338" s="47"/>
      <c r="T338" s="47"/>
      <c r="U338" s="56"/>
      <c r="V338" s="47"/>
      <c r="W338" s="47"/>
      <c r="X338" s="47"/>
      <c r="Y338" s="47"/>
      <c r="Z338" s="47"/>
      <c r="AA338" s="47"/>
    </row>
    <row r="339" spans="1:27" ht="19.8" customHeight="1" x14ac:dyDescent="0.3">
      <c r="A339" s="39"/>
      <c r="B339" s="40" t="s">
        <v>337</v>
      </c>
      <c r="C339" s="55"/>
      <c r="D339" s="62"/>
      <c r="E339" s="21">
        <v>74250000</v>
      </c>
      <c r="F339" s="93"/>
      <c r="G339" s="21">
        <v>0</v>
      </c>
      <c r="H339" s="29"/>
      <c r="I339" s="21">
        <v>0</v>
      </c>
      <c r="J339" s="21">
        <f t="shared" si="203"/>
        <v>0</v>
      </c>
      <c r="K339" s="29">
        <v>0</v>
      </c>
      <c r="L339" s="21">
        <f t="shared" si="230"/>
        <v>0</v>
      </c>
      <c r="M339" s="29">
        <v>0</v>
      </c>
      <c r="N339" s="21">
        <f t="shared" si="223"/>
        <v>74250000</v>
      </c>
      <c r="O339" s="29">
        <f t="shared" si="224"/>
        <v>100</v>
      </c>
      <c r="Q339" s="47"/>
      <c r="R339" s="47"/>
      <c r="S339" s="47"/>
      <c r="T339" s="47"/>
      <c r="U339" s="56"/>
      <c r="V339" s="47"/>
      <c r="W339" s="47"/>
      <c r="X339" s="47"/>
      <c r="Y339" s="47"/>
      <c r="Z339" s="47"/>
      <c r="AA339" s="47"/>
    </row>
    <row r="340" spans="1:27" ht="20.399999999999999" customHeight="1" x14ac:dyDescent="0.3">
      <c r="A340" s="39"/>
      <c r="B340" s="40" t="s">
        <v>338</v>
      </c>
      <c r="C340" s="55"/>
      <c r="D340" s="62"/>
      <c r="E340" s="21">
        <v>162000000</v>
      </c>
      <c r="F340" s="93"/>
      <c r="G340" s="21">
        <v>0</v>
      </c>
      <c r="H340" s="29"/>
      <c r="I340" s="21">
        <v>0</v>
      </c>
      <c r="J340" s="21">
        <f t="shared" si="203"/>
        <v>0</v>
      </c>
      <c r="K340" s="29">
        <v>0</v>
      </c>
      <c r="L340" s="21">
        <f t="shared" si="230"/>
        <v>0</v>
      </c>
      <c r="M340" s="29">
        <v>0</v>
      </c>
      <c r="N340" s="21">
        <f t="shared" si="223"/>
        <v>162000000</v>
      </c>
      <c r="O340" s="29">
        <f t="shared" si="224"/>
        <v>100</v>
      </c>
      <c r="Q340" s="47"/>
      <c r="R340" s="47"/>
      <c r="S340" s="47"/>
      <c r="T340" s="47"/>
      <c r="U340" s="56"/>
      <c r="V340" s="47"/>
      <c r="W340" s="47"/>
      <c r="X340" s="47"/>
      <c r="Y340" s="47"/>
      <c r="Z340" s="47"/>
      <c r="AA340" s="47"/>
    </row>
    <row r="341" spans="1:27" ht="18" customHeight="1" x14ac:dyDescent="0.3">
      <c r="A341" s="39"/>
      <c r="B341" s="40" t="s">
        <v>339</v>
      </c>
      <c r="C341" s="55"/>
      <c r="D341" s="62"/>
      <c r="E341" s="21">
        <v>162000000</v>
      </c>
      <c r="F341" s="93"/>
      <c r="G341" s="21">
        <v>0</v>
      </c>
      <c r="H341" s="29"/>
      <c r="I341" s="21">
        <v>0</v>
      </c>
      <c r="J341" s="21">
        <f t="shared" si="203"/>
        <v>0</v>
      </c>
      <c r="K341" s="29">
        <v>0</v>
      </c>
      <c r="L341" s="21">
        <f t="shared" si="230"/>
        <v>0</v>
      </c>
      <c r="M341" s="29">
        <v>0</v>
      </c>
      <c r="N341" s="21">
        <f t="shared" si="223"/>
        <v>162000000</v>
      </c>
      <c r="O341" s="29">
        <f t="shared" si="224"/>
        <v>100</v>
      </c>
      <c r="Q341" s="47"/>
      <c r="R341" s="47"/>
      <c r="S341" s="47"/>
      <c r="T341" s="47"/>
      <c r="U341" s="56"/>
      <c r="V341" s="47"/>
      <c r="W341" s="47"/>
      <c r="X341" s="47"/>
      <c r="Y341" s="47"/>
      <c r="Z341" s="47"/>
      <c r="AA341" s="47"/>
    </row>
    <row r="342" spans="1:27" ht="19.2" customHeight="1" x14ac:dyDescent="0.3">
      <c r="A342" s="39"/>
      <c r="B342" s="40" t="s">
        <v>340</v>
      </c>
      <c r="C342" s="55"/>
      <c r="D342" s="62"/>
      <c r="E342" s="21">
        <v>48000000</v>
      </c>
      <c r="F342" s="93"/>
      <c r="G342" s="21">
        <v>0</v>
      </c>
      <c r="H342" s="29"/>
      <c r="I342" s="21">
        <f>8000000</f>
        <v>8000000</v>
      </c>
      <c r="J342" s="21">
        <f t="shared" si="203"/>
        <v>8000000</v>
      </c>
      <c r="K342" s="29">
        <v>0</v>
      </c>
      <c r="L342" s="21">
        <v>0</v>
      </c>
      <c r="M342" s="29">
        <v>0</v>
      </c>
      <c r="N342" s="21">
        <f t="shared" si="223"/>
        <v>40000000</v>
      </c>
      <c r="O342" s="29">
        <f t="shared" si="224"/>
        <v>83.333333333333343</v>
      </c>
      <c r="Q342" s="47"/>
      <c r="R342" s="47"/>
      <c r="S342" s="47"/>
      <c r="T342" s="47"/>
      <c r="U342" s="56"/>
      <c r="V342" s="47"/>
      <c r="W342" s="47"/>
      <c r="X342" s="47"/>
      <c r="Y342" s="47"/>
      <c r="Z342" s="47"/>
      <c r="AA342" s="47"/>
    </row>
    <row r="343" spans="1:27" ht="32.4" customHeight="1" x14ac:dyDescent="0.3">
      <c r="A343" s="39" t="s">
        <v>289</v>
      </c>
      <c r="B343" s="40" t="s">
        <v>290</v>
      </c>
      <c r="C343" s="55"/>
      <c r="D343" s="55"/>
      <c r="E343" s="21">
        <v>101000000</v>
      </c>
      <c r="F343" s="21">
        <v>0</v>
      </c>
      <c r="G343" s="21">
        <v>0</v>
      </c>
      <c r="H343" s="29">
        <v>0</v>
      </c>
      <c r="I343" s="21">
        <v>0</v>
      </c>
      <c r="J343" s="21">
        <f t="shared" si="203"/>
        <v>0</v>
      </c>
      <c r="K343" s="29">
        <v>0</v>
      </c>
      <c r="L343" s="21">
        <f t="shared" si="230"/>
        <v>0</v>
      </c>
      <c r="M343" s="29">
        <v>0</v>
      </c>
      <c r="N343" s="21">
        <f t="shared" si="223"/>
        <v>101000000</v>
      </c>
      <c r="O343" s="29">
        <f t="shared" si="224"/>
        <v>100</v>
      </c>
      <c r="Q343" s="47"/>
      <c r="R343" s="47"/>
      <c r="S343" s="47"/>
      <c r="T343" s="47"/>
      <c r="U343" s="56"/>
      <c r="V343" s="47"/>
      <c r="W343" s="47"/>
      <c r="X343" s="47"/>
      <c r="Y343" s="47"/>
      <c r="Z343" s="47"/>
      <c r="AA343" s="47"/>
    </row>
    <row r="344" spans="1:27" ht="18.600000000000001" customHeight="1" x14ac:dyDescent="0.3">
      <c r="A344" s="39" t="s">
        <v>52</v>
      </c>
      <c r="B344" s="40" t="s">
        <v>36</v>
      </c>
      <c r="C344" s="40"/>
      <c r="D344" s="40"/>
      <c r="E344" s="21">
        <f>SUM(E345:E347)</f>
        <v>309160000</v>
      </c>
      <c r="F344" s="93">
        <v>20000000</v>
      </c>
      <c r="G344" s="21">
        <f>SUM(G345:G347)</f>
        <v>0</v>
      </c>
      <c r="H344" s="29">
        <f t="shared" si="227"/>
        <v>0</v>
      </c>
      <c r="I344" s="21">
        <f>SUM(I345:I347)</f>
        <v>16735010</v>
      </c>
      <c r="J344" s="21">
        <f t="shared" si="203"/>
        <v>16735010</v>
      </c>
      <c r="K344" s="29">
        <f t="shared" si="204"/>
        <v>83.675049999999999</v>
      </c>
      <c r="L344" s="21">
        <f t="shared" si="230"/>
        <v>3264990</v>
      </c>
      <c r="M344" s="29">
        <f t="shared" si="231"/>
        <v>16.324949999999998</v>
      </c>
      <c r="N344" s="21">
        <f t="shared" si="223"/>
        <v>292424990</v>
      </c>
      <c r="O344" s="29">
        <f t="shared" si="224"/>
        <v>94.586942036485965</v>
      </c>
      <c r="Q344" s="47"/>
      <c r="R344" s="47"/>
      <c r="S344" s="47"/>
      <c r="T344" s="47"/>
      <c r="U344" s="56"/>
      <c r="V344" s="47"/>
      <c r="W344" s="47"/>
      <c r="X344" s="47"/>
      <c r="Y344" s="47"/>
      <c r="Z344" s="47"/>
      <c r="AA344" s="47"/>
    </row>
    <row r="345" spans="1:27" ht="19.8" customHeight="1" x14ac:dyDescent="0.3">
      <c r="A345" s="39"/>
      <c r="B345" s="40" t="s">
        <v>331</v>
      </c>
      <c r="C345" s="40"/>
      <c r="D345" s="40"/>
      <c r="E345" s="21">
        <v>39840000</v>
      </c>
      <c r="F345" s="93"/>
      <c r="G345" s="21">
        <v>0</v>
      </c>
      <c r="H345" s="29">
        <v>0</v>
      </c>
      <c r="I345" s="21">
        <v>0</v>
      </c>
      <c r="J345" s="21">
        <f t="shared" si="203"/>
        <v>0</v>
      </c>
      <c r="K345" s="29"/>
      <c r="L345" s="21"/>
      <c r="M345" s="29"/>
      <c r="N345" s="21">
        <f t="shared" si="223"/>
        <v>39840000</v>
      </c>
      <c r="O345" s="29">
        <f t="shared" si="224"/>
        <v>100</v>
      </c>
      <c r="Q345" s="47"/>
      <c r="R345" s="47"/>
      <c r="S345" s="47"/>
      <c r="T345" s="47"/>
      <c r="U345" s="56"/>
      <c r="V345" s="47"/>
      <c r="W345" s="47"/>
      <c r="X345" s="47"/>
      <c r="Y345" s="47"/>
      <c r="Z345" s="47"/>
      <c r="AA345" s="47"/>
    </row>
    <row r="346" spans="1:27" ht="19.8" customHeight="1" x14ac:dyDescent="0.3">
      <c r="A346" s="39"/>
      <c r="B346" s="40" t="s">
        <v>332</v>
      </c>
      <c r="C346" s="40"/>
      <c r="D346" s="40"/>
      <c r="E346" s="21">
        <v>47330000</v>
      </c>
      <c r="F346" s="93"/>
      <c r="G346" s="21">
        <v>0</v>
      </c>
      <c r="H346" s="29">
        <v>0</v>
      </c>
      <c r="I346" s="21">
        <f>1440000</f>
        <v>1440000</v>
      </c>
      <c r="J346" s="21">
        <f t="shared" si="203"/>
        <v>1440000</v>
      </c>
      <c r="K346" s="29"/>
      <c r="L346" s="21"/>
      <c r="M346" s="29"/>
      <c r="N346" s="21">
        <f t="shared" si="223"/>
        <v>45890000</v>
      </c>
      <c r="O346" s="29">
        <f t="shared" si="224"/>
        <v>96.957532220578912</v>
      </c>
      <c r="Q346" s="47"/>
      <c r="R346" s="47"/>
      <c r="S346" s="47"/>
      <c r="T346" s="47"/>
      <c r="U346" s="56"/>
      <c r="V346" s="47"/>
      <c r="W346" s="47"/>
      <c r="X346" s="47"/>
      <c r="Y346" s="47"/>
      <c r="Z346" s="47"/>
      <c r="AA346" s="47"/>
    </row>
    <row r="347" spans="1:27" ht="18" customHeight="1" x14ac:dyDescent="0.3">
      <c r="A347" s="39"/>
      <c r="B347" s="40" t="s">
        <v>333</v>
      </c>
      <c r="C347" s="40"/>
      <c r="D347" s="40"/>
      <c r="E347" s="21">
        <v>221990000</v>
      </c>
      <c r="F347" s="93"/>
      <c r="G347" s="21">
        <v>0</v>
      </c>
      <c r="H347" s="29">
        <v>0</v>
      </c>
      <c r="I347" s="21">
        <f>15295010</f>
        <v>15295010</v>
      </c>
      <c r="J347" s="21">
        <f t="shared" si="203"/>
        <v>15295010</v>
      </c>
      <c r="K347" s="29"/>
      <c r="L347" s="21"/>
      <c r="M347" s="29"/>
      <c r="N347" s="21">
        <f t="shared" si="223"/>
        <v>206694990</v>
      </c>
      <c r="O347" s="29">
        <f t="shared" si="224"/>
        <v>93.110045497544931</v>
      </c>
      <c r="Q347" s="47"/>
      <c r="R347" s="47"/>
      <c r="S347" s="47"/>
      <c r="T347" s="47"/>
      <c r="U347" s="56"/>
      <c r="V347" s="47"/>
      <c r="W347" s="47"/>
      <c r="X347" s="47"/>
      <c r="Y347" s="47"/>
      <c r="Z347" s="47"/>
      <c r="AA347" s="47"/>
    </row>
    <row r="348" spans="1:27" ht="18" customHeight="1" x14ac:dyDescent="0.3">
      <c r="A348" s="74"/>
      <c r="B348" s="13"/>
      <c r="C348" s="12"/>
      <c r="D348" s="15"/>
      <c r="E348" s="14"/>
      <c r="F348" s="14"/>
      <c r="G348" s="19"/>
      <c r="H348" s="28"/>
      <c r="I348" s="19"/>
      <c r="J348" s="19"/>
      <c r="K348" s="28"/>
      <c r="L348" s="22"/>
      <c r="M348" s="32"/>
      <c r="N348" s="19"/>
      <c r="O348" s="28"/>
      <c r="Q348" s="47"/>
      <c r="R348" s="47"/>
      <c r="S348" s="47"/>
      <c r="T348" s="47"/>
      <c r="U348" s="56"/>
      <c r="V348" s="47"/>
      <c r="W348" s="47"/>
      <c r="X348" s="47"/>
      <c r="Y348" s="47"/>
      <c r="Z348" s="47"/>
      <c r="AA348" s="47"/>
    </row>
    <row r="349" spans="1:27" ht="31.8" customHeight="1" x14ac:dyDescent="0.3">
      <c r="A349" s="87" t="s">
        <v>155</v>
      </c>
      <c r="B349" s="11" t="s">
        <v>156</v>
      </c>
      <c r="C349" s="12" t="s">
        <v>292</v>
      </c>
      <c r="D349" s="15" t="s">
        <v>15</v>
      </c>
      <c r="E349" s="20">
        <f>SUM(E350:E356)</f>
        <v>855484400</v>
      </c>
      <c r="F349" s="20">
        <f>SUM(F350:F356)</f>
        <v>181618400</v>
      </c>
      <c r="G349" s="20">
        <f>SUM(G350:G356)</f>
        <v>0</v>
      </c>
      <c r="H349" s="28">
        <f t="shared" si="227"/>
        <v>0</v>
      </c>
      <c r="I349" s="20">
        <f>SUM(I350:I356)</f>
        <v>8000000</v>
      </c>
      <c r="J349" s="22">
        <f t="shared" si="203"/>
        <v>8000000</v>
      </c>
      <c r="K349" s="28">
        <f t="shared" si="204"/>
        <v>4.4048400382340116</v>
      </c>
      <c r="L349" s="22">
        <f t="shared" ref="L349:L367" si="234">F349-J349</f>
        <v>173618400</v>
      </c>
      <c r="M349" s="32">
        <f t="shared" ref="M349:M356" si="235">L349/F349*100</f>
        <v>95.595159961765987</v>
      </c>
      <c r="N349" s="19">
        <f t="shared" ref="N349:N352" si="236">E349-J349</f>
        <v>847484400</v>
      </c>
      <c r="O349" s="28">
        <f t="shared" ref="O349:O352" si="237">N349/E349*100</f>
        <v>99.06485729020892</v>
      </c>
      <c r="Q349" s="47"/>
      <c r="R349" s="47"/>
      <c r="S349" s="47"/>
      <c r="T349" s="47"/>
      <c r="U349" s="56"/>
      <c r="V349" s="47"/>
      <c r="W349" s="47"/>
      <c r="X349" s="47"/>
      <c r="Y349" s="47"/>
      <c r="Z349" s="47"/>
      <c r="AA349" s="47"/>
    </row>
    <row r="350" spans="1:27" ht="24.6" customHeight="1" x14ac:dyDescent="0.3">
      <c r="A350" s="39" t="s">
        <v>28</v>
      </c>
      <c r="B350" s="40" t="s">
        <v>74</v>
      </c>
      <c r="C350" s="40"/>
      <c r="D350" s="51"/>
      <c r="E350" s="21">
        <v>6873400</v>
      </c>
      <c r="F350" s="92">
        <v>713400</v>
      </c>
      <c r="G350" s="21">
        <v>0</v>
      </c>
      <c r="H350" s="30">
        <f t="shared" si="227"/>
        <v>0</v>
      </c>
      <c r="I350" s="21">
        <v>0</v>
      </c>
      <c r="J350" s="21">
        <f t="shared" si="203"/>
        <v>0</v>
      </c>
      <c r="K350" s="30">
        <f t="shared" si="204"/>
        <v>0</v>
      </c>
      <c r="L350" s="21">
        <f t="shared" si="234"/>
        <v>713400</v>
      </c>
      <c r="M350" s="29">
        <f t="shared" si="235"/>
        <v>100</v>
      </c>
      <c r="N350" s="14">
        <f t="shared" si="236"/>
        <v>6873400</v>
      </c>
      <c r="O350" s="30">
        <f t="shared" si="237"/>
        <v>100</v>
      </c>
      <c r="Q350" s="47"/>
      <c r="R350" s="47"/>
      <c r="S350" s="47"/>
      <c r="T350" s="47"/>
      <c r="U350" s="56"/>
      <c r="V350" s="47"/>
      <c r="W350" s="47"/>
      <c r="X350" s="47"/>
      <c r="Y350" s="47"/>
      <c r="Z350" s="47"/>
      <c r="AA350" s="47"/>
    </row>
    <row r="351" spans="1:27" ht="21.6" customHeight="1" x14ac:dyDescent="0.3">
      <c r="A351" s="39" t="s">
        <v>311</v>
      </c>
      <c r="B351" s="40" t="s">
        <v>315</v>
      </c>
      <c r="C351" s="40"/>
      <c r="D351" s="51"/>
      <c r="E351" s="21">
        <v>4681000</v>
      </c>
      <c r="F351" s="92">
        <v>1205000</v>
      </c>
      <c r="G351" s="21">
        <v>0</v>
      </c>
      <c r="H351" s="30">
        <f t="shared" si="227"/>
        <v>0</v>
      </c>
      <c r="I351" s="21">
        <v>0</v>
      </c>
      <c r="J351" s="21">
        <f t="shared" si="203"/>
        <v>0</v>
      </c>
      <c r="K351" s="30">
        <f t="shared" si="204"/>
        <v>0</v>
      </c>
      <c r="L351" s="21">
        <f t="shared" si="234"/>
        <v>1205000</v>
      </c>
      <c r="M351" s="29">
        <f t="shared" si="235"/>
        <v>100</v>
      </c>
      <c r="N351" s="14">
        <f t="shared" si="236"/>
        <v>4681000</v>
      </c>
      <c r="O351" s="30">
        <f t="shared" si="237"/>
        <v>100</v>
      </c>
      <c r="Q351" s="47"/>
      <c r="R351" s="47"/>
      <c r="S351" s="47"/>
      <c r="T351" s="47"/>
      <c r="U351" s="56"/>
      <c r="V351" s="47"/>
      <c r="W351" s="47"/>
      <c r="X351" s="47"/>
      <c r="Y351" s="47"/>
      <c r="Z351" s="47"/>
      <c r="AA351" s="47"/>
    </row>
    <row r="352" spans="1:27" ht="20.399999999999999" customHeight="1" x14ac:dyDescent="0.3">
      <c r="A352" s="39" t="s">
        <v>31</v>
      </c>
      <c r="B352" s="40" t="s">
        <v>75</v>
      </c>
      <c r="C352" s="12"/>
      <c r="D352" s="15"/>
      <c r="E352" s="21">
        <v>2500000</v>
      </c>
      <c r="F352" s="92">
        <v>650000</v>
      </c>
      <c r="G352" s="21">
        <v>0</v>
      </c>
      <c r="H352" s="30">
        <f t="shared" si="227"/>
        <v>0</v>
      </c>
      <c r="I352" s="21">
        <v>0</v>
      </c>
      <c r="J352" s="21">
        <f t="shared" si="203"/>
        <v>0</v>
      </c>
      <c r="K352" s="30">
        <f t="shared" si="204"/>
        <v>0</v>
      </c>
      <c r="L352" s="21">
        <f t="shared" si="234"/>
        <v>650000</v>
      </c>
      <c r="M352" s="29">
        <f t="shared" si="235"/>
        <v>100</v>
      </c>
      <c r="N352" s="14">
        <f t="shared" si="236"/>
        <v>2500000</v>
      </c>
      <c r="O352" s="30">
        <f t="shared" si="237"/>
        <v>100</v>
      </c>
      <c r="Q352" s="47"/>
      <c r="R352" s="47"/>
      <c r="S352" s="47"/>
      <c r="T352" s="47"/>
      <c r="U352" s="56"/>
      <c r="V352" s="47"/>
      <c r="W352" s="47"/>
      <c r="X352" s="47"/>
      <c r="Y352" s="47"/>
      <c r="Z352" s="47"/>
      <c r="AA352" s="47"/>
    </row>
    <row r="353" spans="1:27" ht="20.399999999999999" customHeight="1" x14ac:dyDescent="0.3">
      <c r="A353" s="39" t="s">
        <v>312</v>
      </c>
      <c r="B353" s="40" t="s">
        <v>313</v>
      </c>
      <c r="C353" s="12"/>
      <c r="D353" s="15"/>
      <c r="E353" s="21">
        <v>28000000</v>
      </c>
      <c r="F353" s="92">
        <v>6250000</v>
      </c>
      <c r="G353" s="21">
        <v>0</v>
      </c>
      <c r="H353" s="30">
        <f t="shared" si="227"/>
        <v>0</v>
      </c>
      <c r="I353" s="21">
        <v>0</v>
      </c>
      <c r="J353" s="14">
        <f t="shared" si="203"/>
        <v>0</v>
      </c>
      <c r="K353" s="30">
        <f t="shared" si="204"/>
        <v>0</v>
      </c>
      <c r="L353" s="21">
        <f t="shared" si="234"/>
        <v>6250000</v>
      </c>
      <c r="M353" s="29">
        <f t="shared" si="235"/>
        <v>100</v>
      </c>
      <c r="N353" s="14">
        <f t="shared" si="223"/>
        <v>28000000</v>
      </c>
      <c r="O353" s="30">
        <f t="shared" si="224"/>
        <v>100</v>
      </c>
      <c r="Q353" s="47"/>
      <c r="R353" s="47"/>
      <c r="S353" s="47"/>
      <c r="T353" s="47"/>
      <c r="U353" s="56"/>
      <c r="V353" s="47"/>
      <c r="W353" s="47"/>
      <c r="X353" s="47"/>
      <c r="Y353" s="47"/>
      <c r="Z353" s="47"/>
      <c r="AA353" s="47"/>
    </row>
    <row r="354" spans="1:27" ht="20.399999999999999" customHeight="1" x14ac:dyDescent="0.3">
      <c r="A354" s="39" t="s">
        <v>32</v>
      </c>
      <c r="B354" s="40" t="s">
        <v>16</v>
      </c>
      <c r="C354" s="12"/>
      <c r="D354" s="15"/>
      <c r="E354" s="21">
        <v>8800000</v>
      </c>
      <c r="F354" s="92">
        <v>2200000</v>
      </c>
      <c r="G354" s="21">
        <v>0</v>
      </c>
      <c r="H354" s="30">
        <f t="shared" si="227"/>
        <v>0</v>
      </c>
      <c r="I354" s="21">
        <v>0</v>
      </c>
      <c r="J354" s="14">
        <f t="shared" si="203"/>
        <v>0</v>
      </c>
      <c r="K354" s="30">
        <f t="shared" si="204"/>
        <v>0</v>
      </c>
      <c r="L354" s="21">
        <f t="shared" si="234"/>
        <v>2200000</v>
      </c>
      <c r="M354" s="29">
        <f t="shared" si="235"/>
        <v>100</v>
      </c>
      <c r="N354" s="14">
        <f t="shared" si="223"/>
        <v>8800000</v>
      </c>
      <c r="O354" s="30">
        <f t="shared" si="224"/>
        <v>100</v>
      </c>
      <c r="Q354" s="47"/>
      <c r="R354" s="47"/>
      <c r="S354" s="47"/>
      <c r="T354" s="47"/>
      <c r="U354" s="56"/>
      <c r="V354" s="47"/>
      <c r="W354" s="47"/>
      <c r="X354" s="47"/>
      <c r="Y354" s="47"/>
      <c r="Z354" s="47"/>
      <c r="AA354" s="47"/>
    </row>
    <row r="355" spans="1:27" ht="19.2" customHeight="1" x14ac:dyDescent="0.3">
      <c r="A355" s="39" t="s">
        <v>33</v>
      </c>
      <c r="B355" s="40" t="s">
        <v>34</v>
      </c>
      <c r="C355" s="12"/>
      <c r="D355" s="15"/>
      <c r="E355" s="21">
        <v>48000000</v>
      </c>
      <c r="F355" s="92">
        <v>8000000</v>
      </c>
      <c r="G355" s="21">
        <v>0</v>
      </c>
      <c r="H355" s="30">
        <f t="shared" si="227"/>
        <v>0</v>
      </c>
      <c r="I355" s="21">
        <f>8000000</f>
        <v>8000000</v>
      </c>
      <c r="J355" s="14">
        <f t="shared" si="203"/>
        <v>8000000</v>
      </c>
      <c r="K355" s="30">
        <f t="shared" si="204"/>
        <v>100</v>
      </c>
      <c r="L355" s="21">
        <f t="shared" si="234"/>
        <v>0</v>
      </c>
      <c r="M355" s="29">
        <f t="shared" si="235"/>
        <v>0</v>
      </c>
      <c r="N355" s="14">
        <f t="shared" si="223"/>
        <v>40000000</v>
      </c>
      <c r="O355" s="30">
        <f t="shared" si="224"/>
        <v>83.333333333333343</v>
      </c>
      <c r="Q355" s="47"/>
      <c r="R355" s="47"/>
      <c r="S355" s="47"/>
      <c r="T355" s="47"/>
      <c r="U355" s="56"/>
      <c r="V355" s="47"/>
      <c r="W355" s="47"/>
      <c r="X355" s="47"/>
      <c r="Y355" s="47"/>
      <c r="Z355" s="47"/>
      <c r="AA355" s="47"/>
    </row>
    <row r="356" spans="1:27" ht="18" customHeight="1" x14ac:dyDescent="0.3">
      <c r="A356" s="39" t="s">
        <v>52</v>
      </c>
      <c r="B356" s="40" t="s">
        <v>63</v>
      </c>
      <c r="C356" s="40"/>
      <c r="D356" s="51"/>
      <c r="E356" s="21">
        <f>SUM(E357:E360)</f>
        <v>756630000</v>
      </c>
      <c r="F356" s="92">
        <v>162600000</v>
      </c>
      <c r="G356" s="21">
        <f>SUM(G357:G360)</f>
        <v>0</v>
      </c>
      <c r="H356" s="30">
        <f t="shared" si="227"/>
        <v>0</v>
      </c>
      <c r="I356" s="21">
        <f>SUM(I357:I360)</f>
        <v>0</v>
      </c>
      <c r="J356" s="21">
        <f t="shared" si="203"/>
        <v>0</v>
      </c>
      <c r="K356" s="30">
        <f t="shared" si="204"/>
        <v>0</v>
      </c>
      <c r="L356" s="21">
        <f t="shared" si="234"/>
        <v>162600000</v>
      </c>
      <c r="M356" s="29">
        <f t="shared" si="235"/>
        <v>100</v>
      </c>
      <c r="N356" s="14">
        <f t="shared" si="223"/>
        <v>756630000</v>
      </c>
      <c r="O356" s="30">
        <f t="shared" si="224"/>
        <v>100</v>
      </c>
      <c r="Q356" s="47"/>
      <c r="R356" s="47"/>
      <c r="S356" s="47"/>
      <c r="T356" s="47"/>
      <c r="U356" s="56"/>
      <c r="V356" s="47"/>
      <c r="W356" s="47"/>
      <c r="X356" s="47"/>
      <c r="Y356" s="47"/>
      <c r="Z356" s="47"/>
      <c r="AA356" s="47"/>
    </row>
    <row r="357" spans="1:27" ht="18" customHeight="1" x14ac:dyDescent="0.3">
      <c r="A357" s="39"/>
      <c r="B357" s="40" t="s">
        <v>449</v>
      </c>
      <c r="C357" s="40"/>
      <c r="D357" s="51"/>
      <c r="E357" s="21">
        <v>127680000</v>
      </c>
      <c r="F357" s="92"/>
      <c r="G357" s="21">
        <v>0</v>
      </c>
      <c r="H357" s="30"/>
      <c r="I357" s="21">
        <v>0</v>
      </c>
      <c r="J357" s="21">
        <f t="shared" si="203"/>
        <v>0</v>
      </c>
      <c r="K357" s="30">
        <v>0</v>
      </c>
      <c r="L357" s="21">
        <f t="shared" ref="L357:L360" si="238">F357-J357</f>
        <v>0</v>
      </c>
      <c r="M357" s="29">
        <v>0</v>
      </c>
      <c r="N357" s="14">
        <f t="shared" si="223"/>
        <v>127680000</v>
      </c>
      <c r="O357" s="30">
        <f t="shared" si="224"/>
        <v>100</v>
      </c>
      <c r="Q357" s="47"/>
      <c r="R357" s="47"/>
      <c r="S357" s="47"/>
      <c r="T357" s="47"/>
      <c r="U357" s="56"/>
      <c r="V357" s="47"/>
      <c r="W357" s="47"/>
      <c r="X357" s="47"/>
      <c r="Y357" s="47"/>
      <c r="Z357" s="47"/>
      <c r="AA357" s="47"/>
    </row>
    <row r="358" spans="1:27" ht="18" customHeight="1" x14ac:dyDescent="0.3">
      <c r="A358" s="39"/>
      <c r="B358" s="40" t="s">
        <v>448</v>
      </c>
      <c r="C358" s="40"/>
      <c r="D358" s="51"/>
      <c r="E358" s="21">
        <v>564300000</v>
      </c>
      <c r="F358" s="92"/>
      <c r="G358" s="21"/>
      <c r="H358" s="30"/>
      <c r="I358" s="21"/>
      <c r="J358" s="21"/>
      <c r="K358" s="30">
        <v>0</v>
      </c>
      <c r="L358" s="21">
        <f t="shared" si="238"/>
        <v>0</v>
      </c>
      <c r="M358" s="29">
        <v>0</v>
      </c>
      <c r="N358" s="14">
        <f t="shared" ref="N358" si="239">E358-J358</f>
        <v>564300000</v>
      </c>
      <c r="O358" s="30">
        <f t="shared" ref="O358" si="240">N358/E358*100</f>
        <v>100</v>
      </c>
      <c r="Q358" s="47"/>
      <c r="R358" s="47"/>
      <c r="S358" s="47"/>
      <c r="T358" s="47"/>
      <c r="U358" s="56"/>
      <c r="V358" s="47"/>
      <c r="W358" s="47"/>
      <c r="X358" s="47"/>
      <c r="Y358" s="47"/>
      <c r="Z358" s="47"/>
      <c r="AA358" s="47"/>
    </row>
    <row r="359" spans="1:27" ht="18" customHeight="1" x14ac:dyDescent="0.3">
      <c r="A359" s="39"/>
      <c r="B359" s="40" t="s">
        <v>332</v>
      </c>
      <c r="C359" s="40"/>
      <c r="D359" s="51"/>
      <c r="E359" s="21">
        <f>9390000+16020000+15660000</f>
        <v>41070000</v>
      </c>
      <c r="F359" s="92"/>
      <c r="G359" s="21">
        <v>0</v>
      </c>
      <c r="H359" s="30"/>
      <c r="I359" s="21">
        <v>0</v>
      </c>
      <c r="J359" s="21">
        <f t="shared" si="203"/>
        <v>0</v>
      </c>
      <c r="K359" s="30">
        <v>0</v>
      </c>
      <c r="L359" s="21">
        <f t="shared" si="238"/>
        <v>0</v>
      </c>
      <c r="M359" s="29">
        <v>0</v>
      </c>
      <c r="N359" s="14">
        <f t="shared" si="223"/>
        <v>41070000</v>
      </c>
      <c r="O359" s="30">
        <f t="shared" si="224"/>
        <v>100</v>
      </c>
      <c r="Q359" s="47"/>
      <c r="R359" s="47"/>
      <c r="S359" s="47"/>
      <c r="T359" s="47"/>
      <c r="U359" s="56"/>
      <c r="V359" s="47"/>
      <c r="W359" s="47"/>
      <c r="X359" s="47"/>
      <c r="Y359" s="47"/>
      <c r="Z359" s="47"/>
      <c r="AA359" s="47"/>
    </row>
    <row r="360" spans="1:27" ht="18" customHeight="1" x14ac:dyDescent="0.3">
      <c r="A360" s="39"/>
      <c r="B360" s="40" t="s">
        <v>333</v>
      </c>
      <c r="C360" s="40"/>
      <c r="D360" s="51"/>
      <c r="E360" s="21">
        <f>8410000+7860000+7310000</f>
        <v>23580000</v>
      </c>
      <c r="F360" s="92"/>
      <c r="G360" s="21">
        <v>0</v>
      </c>
      <c r="H360" s="30"/>
      <c r="I360" s="21">
        <v>0</v>
      </c>
      <c r="J360" s="21">
        <f t="shared" ref="J360:J369" si="241">G360+I360</f>
        <v>0</v>
      </c>
      <c r="K360" s="30">
        <v>0</v>
      </c>
      <c r="L360" s="21">
        <f t="shared" si="238"/>
        <v>0</v>
      </c>
      <c r="M360" s="29">
        <v>0</v>
      </c>
      <c r="N360" s="14">
        <f t="shared" si="223"/>
        <v>23580000</v>
      </c>
      <c r="O360" s="30">
        <f t="shared" si="224"/>
        <v>100</v>
      </c>
      <c r="Q360" s="47"/>
      <c r="R360" s="47"/>
      <c r="S360" s="47"/>
      <c r="T360" s="47"/>
      <c r="U360" s="56"/>
      <c r="V360" s="47"/>
      <c r="W360" s="47"/>
      <c r="X360" s="47"/>
      <c r="Y360" s="47"/>
      <c r="Z360" s="47"/>
      <c r="AA360" s="47"/>
    </row>
    <row r="361" spans="1:27" ht="18" customHeight="1" x14ac:dyDescent="0.3">
      <c r="A361" s="74"/>
      <c r="B361" s="13"/>
      <c r="C361" s="40"/>
      <c r="D361" s="51"/>
      <c r="E361" s="14"/>
      <c r="F361" s="14"/>
      <c r="G361" s="21"/>
      <c r="H361" s="30"/>
      <c r="I361" s="21"/>
      <c r="J361" s="21"/>
      <c r="K361" s="30"/>
      <c r="L361" s="21"/>
      <c r="M361" s="29"/>
      <c r="N361" s="21"/>
      <c r="O361" s="29"/>
      <c r="Q361" s="47"/>
      <c r="R361" s="47"/>
      <c r="S361" s="47"/>
      <c r="T361" s="47"/>
      <c r="U361" s="56"/>
      <c r="V361" s="47"/>
      <c r="W361" s="47"/>
      <c r="X361" s="47"/>
      <c r="Y361" s="47"/>
      <c r="Z361" s="47"/>
      <c r="AA361" s="47"/>
    </row>
    <row r="362" spans="1:27" ht="32.4" customHeight="1" x14ac:dyDescent="0.3">
      <c r="A362" s="87" t="s">
        <v>157</v>
      </c>
      <c r="B362" s="11" t="s">
        <v>158</v>
      </c>
      <c r="C362" s="12" t="s">
        <v>291</v>
      </c>
      <c r="D362" s="15" t="s">
        <v>15</v>
      </c>
      <c r="E362" s="20">
        <f>SUM(E363:E367)</f>
        <v>52119000</v>
      </c>
      <c r="F362" s="20">
        <f>SUM(F363:F367)</f>
        <v>14529800</v>
      </c>
      <c r="G362" s="20">
        <f>SUM(G363:G367)</f>
        <v>0</v>
      </c>
      <c r="H362" s="28">
        <f t="shared" si="227"/>
        <v>0</v>
      </c>
      <c r="I362" s="20">
        <f>SUM(I363:I367)</f>
        <v>4090000</v>
      </c>
      <c r="J362" s="19">
        <f t="shared" ref="J362:J363" si="242">G362+I362</f>
        <v>4090000</v>
      </c>
      <c r="K362" s="28">
        <f t="shared" ref="K362:K379" si="243">J362/F362*100</f>
        <v>28.149045410122643</v>
      </c>
      <c r="L362" s="22">
        <f t="shared" ref="L362:L363" si="244">F362-J362</f>
        <v>10439800</v>
      </c>
      <c r="M362" s="32">
        <f t="shared" ref="M362:M367" si="245">L362/F362*100</f>
        <v>71.850954589877361</v>
      </c>
      <c r="N362" s="19">
        <f t="shared" ref="N362:N363" si="246">E362-J362</f>
        <v>48029000</v>
      </c>
      <c r="O362" s="28">
        <f t="shared" ref="O362:O363" si="247">N362/E362*100</f>
        <v>92.152573917381375</v>
      </c>
      <c r="Q362" s="47"/>
      <c r="R362" s="47"/>
      <c r="S362" s="47"/>
      <c r="T362" s="47"/>
      <c r="U362" s="56"/>
      <c r="V362" s="47"/>
      <c r="W362" s="47"/>
      <c r="X362" s="47"/>
      <c r="Y362" s="47"/>
      <c r="Z362" s="47"/>
      <c r="AA362" s="47"/>
    </row>
    <row r="363" spans="1:27" ht="21.6" customHeight="1" x14ac:dyDescent="0.3">
      <c r="A363" s="39" t="s">
        <v>28</v>
      </c>
      <c r="B363" s="40" t="s">
        <v>74</v>
      </c>
      <c r="C363" s="40"/>
      <c r="D363" s="51"/>
      <c r="E363" s="21">
        <v>954500</v>
      </c>
      <c r="F363" s="92">
        <v>433500</v>
      </c>
      <c r="G363" s="21">
        <v>0</v>
      </c>
      <c r="H363" s="30">
        <f t="shared" si="227"/>
        <v>0</v>
      </c>
      <c r="I363" s="21">
        <v>0</v>
      </c>
      <c r="J363" s="14">
        <f t="shared" si="242"/>
        <v>0</v>
      </c>
      <c r="K363" s="30">
        <f t="shared" si="243"/>
        <v>0</v>
      </c>
      <c r="L363" s="21">
        <f t="shared" si="244"/>
        <v>433500</v>
      </c>
      <c r="M363" s="29">
        <f t="shared" si="245"/>
        <v>100</v>
      </c>
      <c r="N363" s="14">
        <f t="shared" si="246"/>
        <v>954500</v>
      </c>
      <c r="O363" s="30">
        <f t="shared" si="247"/>
        <v>100</v>
      </c>
      <c r="Q363" s="47"/>
      <c r="R363" s="47"/>
      <c r="S363" s="47"/>
      <c r="T363" s="47"/>
      <c r="U363" s="56"/>
      <c r="V363" s="47"/>
      <c r="W363" s="47"/>
      <c r="X363" s="47"/>
      <c r="Y363" s="47"/>
      <c r="Z363" s="47"/>
      <c r="AA363" s="47"/>
    </row>
    <row r="364" spans="1:27" ht="23.4" customHeight="1" x14ac:dyDescent="0.3">
      <c r="A364" s="39" t="s">
        <v>311</v>
      </c>
      <c r="B364" s="40" t="s">
        <v>315</v>
      </c>
      <c r="C364" s="12"/>
      <c r="D364" s="15"/>
      <c r="E364" s="21">
        <v>984500</v>
      </c>
      <c r="F364" s="92">
        <v>256300</v>
      </c>
      <c r="G364" s="21">
        <v>0</v>
      </c>
      <c r="H364" s="30">
        <f t="shared" si="227"/>
        <v>0</v>
      </c>
      <c r="I364" s="21">
        <v>0</v>
      </c>
      <c r="J364" s="14">
        <f t="shared" si="241"/>
        <v>0</v>
      </c>
      <c r="K364" s="30">
        <f t="shared" si="243"/>
        <v>0</v>
      </c>
      <c r="L364" s="21">
        <f t="shared" si="234"/>
        <v>256300</v>
      </c>
      <c r="M364" s="29">
        <f t="shared" si="245"/>
        <v>100</v>
      </c>
      <c r="N364" s="14">
        <f t="shared" si="223"/>
        <v>984500</v>
      </c>
      <c r="O364" s="30">
        <f t="shared" si="224"/>
        <v>100</v>
      </c>
      <c r="Q364" s="47"/>
      <c r="R364" s="47"/>
      <c r="S364" s="47"/>
      <c r="T364" s="47"/>
      <c r="U364" s="56"/>
      <c r="V364" s="47"/>
      <c r="W364" s="47"/>
      <c r="X364" s="47"/>
      <c r="Y364" s="47"/>
      <c r="Z364" s="47"/>
      <c r="AA364" s="47"/>
    </row>
    <row r="365" spans="1:27" ht="18.600000000000001" customHeight="1" x14ac:dyDescent="0.3">
      <c r="A365" s="39" t="s">
        <v>31</v>
      </c>
      <c r="B365" s="40" t="s">
        <v>75</v>
      </c>
      <c r="C365" s="12"/>
      <c r="D365" s="12"/>
      <c r="E365" s="21">
        <v>2300000</v>
      </c>
      <c r="F365" s="92">
        <v>620000</v>
      </c>
      <c r="G365" s="21">
        <v>0</v>
      </c>
      <c r="H365" s="30">
        <f t="shared" si="227"/>
        <v>0</v>
      </c>
      <c r="I365" s="21">
        <v>0</v>
      </c>
      <c r="J365" s="14">
        <f>G365+I365</f>
        <v>0</v>
      </c>
      <c r="K365" s="30">
        <f t="shared" si="243"/>
        <v>0</v>
      </c>
      <c r="L365" s="21">
        <f t="shared" si="234"/>
        <v>620000</v>
      </c>
      <c r="M365" s="29">
        <f t="shared" si="245"/>
        <v>100</v>
      </c>
      <c r="N365" s="14">
        <f t="shared" si="223"/>
        <v>2300000</v>
      </c>
      <c r="O365" s="30">
        <f t="shared" si="224"/>
        <v>100</v>
      </c>
      <c r="Q365" s="47"/>
      <c r="R365" s="47"/>
      <c r="S365" s="47"/>
      <c r="T365" s="47"/>
      <c r="U365" s="56"/>
      <c r="V365" s="47"/>
      <c r="W365" s="47"/>
      <c r="X365" s="47"/>
      <c r="Y365" s="47"/>
      <c r="Z365" s="47"/>
      <c r="AA365" s="47"/>
    </row>
    <row r="366" spans="1:27" ht="19.2" customHeight="1" x14ac:dyDescent="0.3">
      <c r="A366" s="39" t="s">
        <v>32</v>
      </c>
      <c r="B366" s="40" t="s">
        <v>16</v>
      </c>
      <c r="C366" s="40"/>
      <c r="D366" s="40"/>
      <c r="E366" s="21">
        <v>5240000</v>
      </c>
      <c r="F366" s="92">
        <v>1200000</v>
      </c>
      <c r="G366" s="21">
        <v>0</v>
      </c>
      <c r="H366" s="30">
        <f t="shared" si="227"/>
        <v>0</v>
      </c>
      <c r="I366" s="21">
        <v>0</v>
      </c>
      <c r="J366" s="21">
        <f t="shared" si="241"/>
        <v>0</v>
      </c>
      <c r="K366" s="30">
        <f t="shared" si="243"/>
        <v>0</v>
      </c>
      <c r="L366" s="21">
        <f t="shared" si="234"/>
        <v>1200000</v>
      </c>
      <c r="M366" s="29">
        <f t="shared" si="245"/>
        <v>100</v>
      </c>
      <c r="N366" s="21">
        <f t="shared" si="223"/>
        <v>5240000</v>
      </c>
      <c r="O366" s="29">
        <f t="shared" si="224"/>
        <v>100</v>
      </c>
      <c r="Q366" s="47"/>
      <c r="R366" s="47"/>
      <c r="S366" s="47"/>
      <c r="T366" s="47"/>
      <c r="U366" s="56"/>
      <c r="V366" s="47"/>
      <c r="W366" s="47"/>
      <c r="X366" s="47"/>
      <c r="Y366" s="47"/>
      <c r="Z366" s="47"/>
      <c r="AA366" s="47"/>
    </row>
    <row r="367" spans="1:27" ht="23.4" customHeight="1" x14ac:dyDescent="0.3">
      <c r="A367" s="39" t="s">
        <v>52</v>
      </c>
      <c r="B367" s="40" t="s">
        <v>63</v>
      </c>
      <c r="C367" s="12"/>
      <c r="D367" s="15"/>
      <c r="E367" s="21">
        <f>SUM(E368:E369)</f>
        <v>42640000</v>
      </c>
      <c r="F367" s="92">
        <v>12020000</v>
      </c>
      <c r="G367" s="21">
        <v>0</v>
      </c>
      <c r="H367" s="30">
        <f t="shared" si="227"/>
        <v>0</v>
      </c>
      <c r="I367" s="21">
        <f>SUM(I368:I369)</f>
        <v>4090000</v>
      </c>
      <c r="J367" s="14">
        <f t="shared" si="241"/>
        <v>4090000</v>
      </c>
      <c r="K367" s="30">
        <f t="shared" si="243"/>
        <v>34.026622296173045</v>
      </c>
      <c r="L367" s="21">
        <f t="shared" si="234"/>
        <v>7930000</v>
      </c>
      <c r="M367" s="29">
        <f t="shared" si="245"/>
        <v>65.973377703826955</v>
      </c>
      <c r="N367" s="14">
        <f t="shared" si="223"/>
        <v>38550000</v>
      </c>
      <c r="O367" s="30">
        <f t="shared" si="224"/>
        <v>90.408067542213885</v>
      </c>
      <c r="Q367" s="47"/>
      <c r="R367" s="47"/>
      <c r="S367" s="47"/>
      <c r="T367" s="47"/>
      <c r="U367" s="56"/>
      <c r="V367" s="47"/>
      <c r="W367" s="47"/>
      <c r="X367" s="47"/>
      <c r="Y367" s="47"/>
      <c r="Z367" s="47"/>
      <c r="AA367" s="47"/>
    </row>
    <row r="368" spans="1:27" ht="24" customHeight="1" x14ac:dyDescent="0.3">
      <c r="A368" s="39"/>
      <c r="B368" s="40" t="s">
        <v>331</v>
      </c>
      <c r="C368" s="12"/>
      <c r="D368" s="15"/>
      <c r="E368" s="21">
        <f>16480000+8820000</f>
        <v>25300000</v>
      </c>
      <c r="F368" s="92"/>
      <c r="G368" s="21">
        <v>0</v>
      </c>
      <c r="H368" s="30">
        <v>0</v>
      </c>
      <c r="I368" s="21">
        <v>0</v>
      </c>
      <c r="J368" s="14">
        <f t="shared" si="241"/>
        <v>0</v>
      </c>
      <c r="K368" s="30"/>
      <c r="L368" s="21"/>
      <c r="M368" s="29"/>
      <c r="N368" s="14">
        <f t="shared" si="223"/>
        <v>25300000</v>
      </c>
      <c r="O368" s="30">
        <f t="shared" si="224"/>
        <v>100</v>
      </c>
      <c r="Q368" s="47"/>
      <c r="R368" s="47"/>
      <c r="S368" s="47"/>
      <c r="T368" s="47"/>
      <c r="U368" s="56"/>
      <c r="V368" s="47"/>
      <c r="W368" s="47"/>
      <c r="X368" s="47"/>
      <c r="Y368" s="47"/>
      <c r="Z368" s="47"/>
      <c r="AA368" s="47"/>
    </row>
    <row r="369" spans="1:27" ht="23.4" customHeight="1" x14ac:dyDescent="0.3">
      <c r="A369" s="39"/>
      <c r="B369" s="40" t="s">
        <v>334</v>
      </c>
      <c r="C369" s="12"/>
      <c r="D369" s="15"/>
      <c r="E369" s="21">
        <v>17340000</v>
      </c>
      <c r="F369" s="92"/>
      <c r="G369" s="21">
        <v>0</v>
      </c>
      <c r="H369" s="30">
        <v>0</v>
      </c>
      <c r="I369" s="21">
        <f>4090000</f>
        <v>4090000</v>
      </c>
      <c r="J369" s="14">
        <f t="shared" si="241"/>
        <v>4090000</v>
      </c>
      <c r="K369" s="30"/>
      <c r="L369" s="21"/>
      <c r="M369" s="29"/>
      <c r="N369" s="14">
        <f t="shared" si="223"/>
        <v>13250000</v>
      </c>
      <c r="O369" s="30">
        <f t="shared" si="224"/>
        <v>76.412918108419831</v>
      </c>
      <c r="Q369" s="47"/>
      <c r="R369" s="47"/>
      <c r="S369" s="47"/>
      <c r="T369" s="47"/>
      <c r="U369" s="56"/>
      <c r="V369" s="47"/>
      <c r="W369" s="47"/>
      <c r="X369" s="47"/>
      <c r="Y369" s="47"/>
      <c r="Z369" s="47"/>
      <c r="AA369" s="47"/>
    </row>
    <row r="370" spans="1:27" ht="18" customHeight="1" x14ac:dyDescent="0.3">
      <c r="A370" s="74"/>
      <c r="B370" s="13"/>
      <c r="C370" s="40"/>
      <c r="D370" s="51"/>
      <c r="E370" s="14"/>
      <c r="F370" s="14"/>
      <c r="G370" s="21"/>
      <c r="H370" s="30"/>
      <c r="I370" s="21"/>
      <c r="J370" s="21"/>
      <c r="K370" s="30"/>
      <c r="L370" s="21"/>
      <c r="M370" s="29"/>
      <c r="N370" s="21"/>
      <c r="O370" s="29"/>
      <c r="Q370" s="47"/>
      <c r="R370" s="47"/>
      <c r="S370" s="47"/>
      <c r="T370" s="47"/>
      <c r="U370" s="56"/>
      <c r="V370" s="47"/>
      <c r="W370" s="47"/>
      <c r="X370" s="47"/>
      <c r="Y370" s="47"/>
      <c r="Z370" s="47"/>
      <c r="AA370" s="47"/>
    </row>
    <row r="371" spans="1:27" ht="34.200000000000003" customHeight="1" x14ac:dyDescent="0.3">
      <c r="A371" s="87" t="s">
        <v>159</v>
      </c>
      <c r="B371" s="11" t="s">
        <v>160</v>
      </c>
      <c r="C371" s="12" t="s">
        <v>291</v>
      </c>
      <c r="D371" s="15" t="s">
        <v>15</v>
      </c>
      <c r="E371" s="19">
        <f>SUM(E372:E379)</f>
        <v>146137000</v>
      </c>
      <c r="F371" s="19">
        <f>SUM(F372:F379)</f>
        <v>35240350</v>
      </c>
      <c r="G371" s="19">
        <f>SUM(G372:G379)</f>
        <v>0</v>
      </c>
      <c r="H371" s="28">
        <f t="shared" si="227"/>
        <v>0</v>
      </c>
      <c r="I371" s="19">
        <f>SUM(I372:I379)</f>
        <v>16560500</v>
      </c>
      <c r="J371" s="19">
        <f t="shared" ref="J371:J395" si="248">G371+I371</f>
        <v>16560500</v>
      </c>
      <c r="K371" s="28">
        <f t="shared" ref="K371:K373" si="249">J371/F371*100</f>
        <v>46.993006596131991</v>
      </c>
      <c r="L371" s="22">
        <f t="shared" ref="L371:L390" si="250">F371-J371</f>
        <v>18679850</v>
      </c>
      <c r="M371" s="32">
        <f t="shared" ref="M371:M379" si="251">L371/F371*100</f>
        <v>53.006993403868009</v>
      </c>
      <c r="N371" s="19">
        <f t="shared" ref="N371:N395" si="252">E371-J371</f>
        <v>129576500</v>
      </c>
      <c r="O371" s="28">
        <f t="shared" ref="O371:O395" si="253">N371/E371*100</f>
        <v>88.667825396716779</v>
      </c>
      <c r="Q371" s="47"/>
      <c r="R371" s="47"/>
      <c r="S371" s="47"/>
      <c r="T371" s="47"/>
      <c r="U371" s="56"/>
      <c r="V371" s="47"/>
      <c r="W371" s="47"/>
      <c r="X371" s="47"/>
      <c r="Y371" s="47"/>
      <c r="Z371" s="47"/>
      <c r="AA371" s="47"/>
    </row>
    <row r="372" spans="1:27" ht="27" customHeight="1" x14ac:dyDescent="0.3">
      <c r="A372" s="39" t="s">
        <v>28</v>
      </c>
      <c r="B372" s="40" t="s">
        <v>74</v>
      </c>
      <c r="C372" s="40"/>
      <c r="D372" s="51"/>
      <c r="E372" s="21">
        <v>416000</v>
      </c>
      <c r="F372" s="92">
        <v>248500</v>
      </c>
      <c r="G372" s="21">
        <v>0</v>
      </c>
      <c r="H372" s="30">
        <f t="shared" si="227"/>
        <v>0</v>
      </c>
      <c r="I372" s="21">
        <v>0</v>
      </c>
      <c r="J372" s="14">
        <f t="shared" si="248"/>
        <v>0</v>
      </c>
      <c r="K372" s="30">
        <f t="shared" si="249"/>
        <v>0</v>
      </c>
      <c r="L372" s="21">
        <f t="shared" si="250"/>
        <v>248500</v>
      </c>
      <c r="M372" s="29">
        <f t="shared" si="251"/>
        <v>100</v>
      </c>
      <c r="N372" s="14">
        <f t="shared" si="252"/>
        <v>416000</v>
      </c>
      <c r="O372" s="30">
        <f t="shared" si="253"/>
        <v>100</v>
      </c>
      <c r="Q372" s="47"/>
      <c r="R372" s="47"/>
      <c r="S372" s="47"/>
      <c r="T372" s="47"/>
      <c r="U372" s="56"/>
      <c r="V372" s="47"/>
      <c r="W372" s="47"/>
      <c r="X372" s="47"/>
      <c r="Y372" s="47"/>
      <c r="Z372" s="47"/>
      <c r="AA372" s="47"/>
    </row>
    <row r="373" spans="1:27" ht="24.6" customHeight="1" x14ac:dyDescent="0.3">
      <c r="A373" s="39" t="s">
        <v>311</v>
      </c>
      <c r="B373" s="40" t="s">
        <v>315</v>
      </c>
      <c r="C373" s="12"/>
      <c r="D373" s="15"/>
      <c r="E373" s="21">
        <v>3112000</v>
      </c>
      <c r="F373" s="92">
        <v>834600</v>
      </c>
      <c r="G373" s="21">
        <v>0</v>
      </c>
      <c r="H373" s="30">
        <f t="shared" si="227"/>
        <v>0</v>
      </c>
      <c r="I373" s="21">
        <v>0</v>
      </c>
      <c r="J373" s="14">
        <f t="shared" si="248"/>
        <v>0</v>
      </c>
      <c r="K373" s="30">
        <f t="shared" si="249"/>
        <v>0</v>
      </c>
      <c r="L373" s="21">
        <f t="shared" si="250"/>
        <v>834600</v>
      </c>
      <c r="M373" s="29">
        <f t="shared" si="251"/>
        <v>100</v>
      </c>
      <c r="N373" s="14">
        <f t="shared" si="252"/>
        <v>3112000</v>
      </c>
      <c r="O373" s="30">
        <f t="shared" si="253"/>
        <v>100</v>
      </c>
      <c r="Q373" s="47"/>
      <c r="R373" s="47"/>
      <c r="S373" s="47"/>
      <c r="T373" s="47"/>
      <c r="U373" s="56"/>
      <c r="V373" s="47"/>
      <c r="W373" s="47"/>
      <c r="X373" s="47"/>
      <c r="Y373" s="47"/>
      <c r="Z373" s="47"/>
      <c r="AA373" s="47"/>
    </row>
    <row r="374" spans="1:27" ht="28.2" customHeight="1" x14ac:dyDescent="0.3">
      <c r="A374" s="39" t="s">
        <v>31</v>
      </c>
      <c r="B374" s="40" t="s">
        <v>75</v>
      </c>
      <c r="C374" s="12"/>
      <c r="D374" s="15"/>
      <c r="E374" s="21">
        <v>749000</v>
      </c>
      <c r="F374" s="92">
        <v>187250</v>
      </c>
      <c r="G374" s="21">
        <v>0</v>
      </c>
      <c r="H374" s="30">
        <f t="shared" si="227"/>
        <v>0</v>
      </c>
      <c r="I374" s="21">
        <v>0</v>
      </c>
      <c r="J374" s="14">
        <f t="shared" si="248"/>
        <v>0</v>
      </c>
      <c r="K374" s="30">
        <f t="shared" si="243"/>
        <v>0</v>
      </c>
      <c r="L374" s="21">
        <f t="shared" si="250"/>
        <v>187250</v>
      </c>
      <c r="M374" s="29">
        <f t="shared" si="251"/>
        <v>100</v>
      </c>
      <c r="N374" s="14">
        <f t="shared" si="252"/>
        <v>749000</v>
      </c>
      <c r="O374" s="30">
        <f t="shared" si="253"/>
        <v>100</v>
      </c>
      <c r="Q374" s="47"/>
      <c r="R374" s="47"/>
      <c r="S374" s="47"/>
      <c r="T374" s="47"/>
      <c r="U374" s="56"/>
      <c r="V374" s="47"/>
      <c r="W374" s="47"/>
      <c r="X374" s="47"/>
      <c r="Y374" s="47"/>
      <c r="Z374" s="47"/>
      <c r="AA374" s="47"/>
    </row>
    <row r="375" spans="1:27" ht="21.6" customHeight="1" x14ac:dyDescent="0.3">
      <c r="A375" s="39" t="s">
        <v>312</v>
      </c>
      <c r="B375" s="40" t="s">
        <v>313</v>
      </c>
      <c r="C375" s="75"/>
      <c r="D375" s="15"/>
      <c r="E375" s="21">
        <v>4000000</v>
      </c>
      <c r="F375" s="92">
        <v>1600000</v>
      </c>
      <c r="G375" s="21">
        <v>0</v>
      </c>
      <c r="H375" s="30">
        <f t="shared" si="227"/>
        <v>0</v>
      </c>
      <c r="I375" s="21">
        <v>0</v>
      </c>
      <c r="J375" s="14">
        <f t="shared" si="248"/>
        <v>0</v>
      </c>
      <c r="K375" s="30">
        <f t="shared" si="243"/>
        <v>0</v>
      </c>
      <c r="L375" s="21">
        <f t="shared" si="250"/>
        <v>1600000</v>
      </c>
      <c r="M375" s="29">
        <f t="shared" si="251"/>
        <v>100</v>
      </c>
      <c r="N375" s="14">
        <f t="shared" si="252"/>
        <v>4000000</v>
      </c>
      <c r="O375" s="30">
        <f t="shared" si="253"/>
        <v>100</v>
      </c>
      <c r="Q375" s="47"/>
      <c r="R375" s="47"/>
      <c r="S375" s="47"/>
      <c r="T375" s="47"/>
      <c r="U375" s="56"/>
      <c r="V375" s="47"/>
      <c r="W375" s="47"/>
      <c r="X375" s="47"/>
      <c r="Y375" s="47"/>
      <c r="Z375" s="47"/>
      <c r="AA375" s="47"/>
    </row>
    <row r="376" spans="1:27" ht="21.6" customHeight="1" x14ac:dyDescent="0.3">
      <c r="A376" s="39" t="s">
        <v>32</v>
      </c>
      <c r="B376" s="40" t="s">
        <v>16</v>
      </c>
      <c r="C376" s="12"/>
      <c r="D376" s="15"/>
      <c r="E376" s="21">
        <v>8160000</v>
      </c>
      <c r="F376" s="92">
        <v>2040000</v>
      </c>
      <c r="G376" s="21">
        <v>0</v>
      </c>
      <c r="H376" s="30">
        <f t="shared" si="227"/>
        <v>0</v>
      </c>
      <c r="I376" s="21">
        <v>0</v>
      </c>
      <c r="J376" s="14">
        <f t="shared" si="248"/>
        <v>0</v>
      </c>
      <c r="K376" s="30">
        <f t="shared" si="243"/>
        <v>0</v>
      </c>
      <c r="L376" s="21">
        <f t="shared" si="250"/>
        <v>2040000</v>
      </c>
      <c r="M376" s="29">
        <f t="shared" si="251"/>
        <v>100</v>
      </c>
      <c r="N376" s="14">
        <f t="shared" si="252"/>
        <v>8160000</v>
      </c>
      <c r="O376" s="30">
        <f t="shared" si="253"/>
        <v>100</v>
      </c>
      <c r="Q376" s="47"/>
      <c r="R376" s="47"/>
      <c r="S376" s="47"/>
      <c r="T376" s="47"/>
      <c r="U376" s="56"/>
      <c r="V376" s="47"/>
      <c r="W376" s="47"/>
      <c r="X376" s="47"/>
      <c r="Y376" s="47"/>
      <c r="Z376" s="47"/>
      <c r="AA376" s="47"/>
    </row>
    <row r="377" spans="1:27" ht="33.6" customHeight="1" x14ac:dyDescent="0.3">
      <c r="A377" s="39" t="s">
        <v>306</v>
      </c>
      <c r="B377" s="40" t="s">
        <v>307</v>
      </c>
      <c r="C377" s="40"/>
      <c r="D377" s="51"/>
      <c r="E377" s="21">
        <v>13250000</v>
      </c>
      <c r="F377" s="21">
        <v>0</v>
      </c>
      <c r="G377" s="21">
        <v>0</v>
      </c>
      <c r="H377" s="30">
        <v>0</v>
      </c>
      <c r="I377" s="21">
        <v>0</v>
      </c>
      <c r="J377" s="21">
        <f t="shared" si="248"/>
        <v>0</v>
      </c>
      <c r="K377" s="30">
        <v>0</v>
      </c>
      <c r="L377" s="21">
        <f t="shared" si="250"/>
        <v>0</v>
      </c>
      <c r="M377" s="29">
        <v>0</v>
      </c>
      <c r="N377" s="21">
        <f t="shared" si="252"/>
        <v>13250000</v>
      </c>
      <c r="O377" s="29">
        <f t="shared" si="253"/>
        <v>100</v>
      </c>
      <c r="Q377" s="47"/>
      <c r="R377" s="47"/>
      <c r="S377" s="47"/>
      <c r="T377" s="47"/>
      <c r="U377" s="56"/>
      <c r="V377" s="47"/>
      <c r="W377" s="47"/>
      <c r="X377" s="47"/>
      <c r="Y377" s="47"/>
      <c r="Z377" s="47"/>
      <c r="AA377" s="47"/>
    </row>
    <row r="378" spans="1:27" ht="18" customHeight="1" x14ac:dyDescent="0.3">
      <c r="A378" s="39" t="s">
        <v>33</v>
      </c>
      <c r="B378" s="40" t="s">
        <v>34</v>
      </c>
      <c r="C378" s="40"/>
      <c r="D378" s="51"/>
      <c r="E378" s="21">
        <v>12000000</v>
      </c>
      <c r="F378" s="92">
        <v>2000000</v>
      </c>
      <c r="G378" s="21">
        <v>0</v>
      </c>
      <c r="H378" s="30">
        <f t="shared" si="227"/>
        <v>0</v>
      </c>
      <c r="I378" s="21">
        <f>2000000</f>
        <v>2000000</v>
      </c>
      <c r="J378" s="21">
        <f t="shared" si="248"/>
        <v>2000000</v>
      </c>
      <c r="K378" s="30">
        <f t="shared" si="243"/>
        <v>100</v>
      </c>
      <c r="L378" s="21">
        <f t="shared" si="250"/>
        <v>0</v>
      </c>
      <c r="M378" s="29">
        <f t="shared" si="251"/>
        <v>0</v>
      </c>
      <c r="N378" s="21">
        <f t="shared" si="252"/>
        <v>10000000</v>
      </c>
      <c r="O378" s="29">
        <f t="shared" si="253"/>
        <v>83.333333333333343</v>
      </c>
      <c r="Q378" s="47"/>
      <c r="R378" s="47"/>
      <c r="S378" s="47"/>
      <c r="T378" s="47"/>
      <c r="U378" s="56"/>
      <c r="V378" s="47"/>
      <c r="W378" s="47"/>
      <c r="X378" s="47"/>
      <c r="Y378" s="47"/>
      <c r="Z378" s="47"/>
      <c r="AA378" s="47"/>
    </row>
    <row r="379" spans="1:27" ht="18" customHeight="1" x14ac:dyDescent="0.3">
      <c r="A379" s="39" t="s">
        <v>52</v>
      </c>
      <c r="B379" s="40" t="s">
        <v>36</v>
      </c>
      <c r="C379" s="40"/>
      <c r="D379" s="51"/>
      <c r="E379" s="21">
        <f>SUM(E380:E381)</f>
        <v>104450000</v>
      </c>
      <c r="F379" s="92">
        <v>28330000</v>
      </c>
      <c r="G379" s="21">
        <f>SUM(G380:G381)</f>
        <v>0</v>
      </c>
      <c r="H379" s="30">
        <f t="shared" si="227"/>
        <v>0</v>
      </c>
      <c r="I379" s="21">
        <f>SUM(I380:I381)</f>
        <v>14560500</v>
      </c>
      <c r="J379" s="21">
        <f t="shared" si="248"/>
        <v>14560500</v>
      </c>
      <c r="K379" s="30">
        <f t="shared" si="243"/>
        <v>51.396046593716903</v>
      </c>
      <c r="L379" s="21">
        <f t="shared" si="250"/>
        <v>13769500</v>
      </c>
      <c r="M379" s="29">
        <f t="shared" si="251"/>
        <v>48.60395340628309</v>
      </c>
      <c r="N379" s="21">
        <f t="shared" si="252"/>
        <v>89889500</v>
      </c>
      <c r="O379" s="29">
        <f t="shared" si="253"/>
        <v>86.059837242699857</v>
      </c>
      <c r="Q379" s="47"/>
      <c r="R379" s="47"/>
      <c r="S379" s="47"/>
      <c r="T379" s="47"/>
      <c r="U379" s="56"/>
      <c r="V379" s="47"/>
      <c r="W379" s="47"/>
      <c r="X379" s="47"/>
      <c r="Y379" s="47"/>
      <c r="Z379" s="47"/>
      <c r="AA379" s="47"/>
    </row>
    <row r="380" spans="1:27" ht="18" customHeight="1" x14ac:dyDescent="0.3">
      <c r="A380" s="57"/>
      <c r="B380" s="40" t="s">
        <v>331</v>
      </c>
      <c r="C380" s="12"/>
      <c r="D380" s="15"/>
      <c r="E380" s="21">
        <v>79680000</v>
      </c>
      <c r="F380" s="21"/>
      <c r="G380" s="21">
        <v>0</v>
      </c>
      <c r="H380" s="30"/>
      <c r="I380" s="21">
        <f>5040000</f>
        <v>5040000</v>
      </c>
      <c r="J380" s="14">
        <f t="shared" si="248"/>
        <v>5040000</v>
      </c>
      <c r="K380" s="30"/>
      <c r="L380" s="21"/>
      <c r="M380" s="29"/>
      <c r="N380" s="14">
        <f t="shared" si="252"/>
        <v>74640000</v>
      </c>
      <c r="O380" s="30">
        <f t="shared" si="253"/>
        <v>93.674698795180717</v>
      </c>
      <c r="Q380" s="47"/>
      <c r="R380" s="47"/>
      <c r="S380" s="47"/>
      <c r="T380" s="47"/>
      <c r="U380" s="56"/>
      <c r="V380" s="47"/>
      <c r="W380" s="47"/>
      <c r="X380" s="47"/>
      <c r="Y380" s="47"/>
      <c r="Z380" s="47"/>
      <c r="AA380" s="47"/>
    </row>
    <row r="381" spans="1:27" ht="18" customHeight="1" x14ac:dyDescent="0.3">
      <c r="A381" s="57"/>
      <c r="B381" s="40" t="s">
        <v>332</v>
      </c>
      <c r="C381" s="12"/>
      <c r="D381" s="15"/>
      <c r="E381" s="21">
        <v>24770000</v>
      </c>
      <c r="F381" s="21"/>
      <c r="G381" s="21">
        <v>0</v>
      </c>
      <c r="H381" s="30"/>
      <c r="I381" s="21">
        <f>9520500</f>
        <v>9520500</v>
      </c>
      <c r="J381" s="14">
        <f t="shared" si="248"/>
        <v>9520500</v>
      </c>
      <c r="K381" s="30"/>
      <c r="L381" s="21"/>
      <c r="M381" s="29"/>
      <c r="N381" s="14">
        <f t="shared" si="252"/>
        <v>15249500</v>
      </c>
      <c r="O381" s="30">
        <f t="shared" si="253"/>
        <v>61.564392410173596</v>
      </c>
      <c r="Q381" s="47"/>
      <c r="R381" s="47"/>
      <c r="S381" s="47"/>
      <c r="T381" s="47"/>
      <c r="U381" s="56"/>
      <c r="V381" s="47"/>
      <c r="W381" s="47"/>
      <c r="X381" s="47"/>
      <c r="Y381" s="47"/>
      <c r="Z381" s="47"/>
      <c r="AA381" s="47"/>
    </row>
    <row r="382" spans="1:27" ht="18" customHeight="1" x14ac:dyDescent="0.3">
      <c r="A382" s="57"/>
      <c r="B382" s="40"/>
      <c r="C382" s="12"/>
      <c r="D382" s="15"/>
      <c r="E382" s="21"/>
      <c r="F382" s="21"/>
      <c r="G382" s="19"/>
      <c r="H382" s="28"/>
      <c r="I382" s="19"/>
      <c r="J382" s="19"/>
      <c r="K382" s="28"/>
      <c r="L382" s="22"/>
      <c r="M382" s="32"/>
      <c r="N382" s="19"/>
      <c r="O382" s="28"/>
      <c r="Q382" s="47"/>
      <c r="R382" s="47"/>
      <c r="S382" s="47"/>
      <c r="T382" s="47"/>
      <c r="U382" s="56"/>
      <c r="V382" s="47"/>
      <c r="W382" s="47"/>
      <c r="X382" s="47"/>
      <c r="Y382" s="47"/>
      <c r="Z382" s="47"/>
      <c r="AA382" s="47"/>
    </row>
    <row r="383" spans="1:27" ht="31.8" customHeight="1" x14ac:dyDescent="0.3">
      <c r="A383" s="87" t="s">
        <v>161</v>
      </c>
      <c r="B383" s="11" t="s">
        <v>162</v>
      </c>
      <c r="C383" s="12" t="s">
        <v>292</v>
      </c>
      <c r="D383" s="15" t="s">
        <v>15</v>
      </c>
      <c r="E383" s="19">
        <f>SUM(E384:E390)</f>
        <v>328578000</v>
      </c>
      <c r="F383" s="19">
        <f>SUM(F384:F390)</f>
        <v>74589500</v>
      </c>
      <c r="G383" s="19">
        <f>SUM(G384:G390)</f>
        <v>0</v>
      </c>
      <c r="H383" s="28">
        <f t="shared" si="227"/>
        <v>0</v>
      </c>
      <c r="I383" s="19">
        <f>SUM(I384:I390)</f>
        <v>22980000</v>
      </c>
      <c r="J383" s="19">
        <f t="shared" si="248"/>
        <v>22980000</v>
      </c>
      <c r="K383" s="28">
        <f t="shared" ref="K383:K395" si="254">J383/F383*100</f>
        <v>30.808625878977601</v>
      </c>
      <c r="L383" s="22">
        <f t="shared" si="250"/>
        <v>51609500</v>
      </c>
      <c r="M383" s="32">
        <f t="shared" ref="M383:M395" si="255">L383/F383*100</f>
        <v>69.191374121022392</v>
      </c>
      <c r="N383" s="19">
        <f t="shared" si="252"/>
        <v>305598000</v>
      </c>
      <c r="O383" s="28">
        <f t="shared" si="253"/>
        <v>93.006226831985089</v>
      </c>
      <c r="Q383" s="47"/>
      <c r="R383" s="47"/>
      <c r="S383" s="47"/>
      <c r="T383" s="47"/>
      <c r="U383" s="56"/>
      <c r="V383" s="47"/>
      <c r="W383" s="47"/>
      <c r="X383" s="47"/>
      <c r="Y383" s="47"/>
      <c r="Z383" s="47"/>
      <c r="AA383" s="47"/>
    </row>
    <row r="384" spans="1:27" ht="25.8" customHeight="1" x14ac:dyDescent="0.3">
      <c r="A384" s="39" t="s">
        <v>28</v>
      </c>
      <c r="B384" s="40" t="s">
        <v>74</v>
      </c>
      <c r="C384" s="40"/>
      <c r="D384" s="40"/>
      <c r="E384" s="21">
        <v>8788000</v>
      </c>
      <c r="F384" s="92">
        <v>2197000</v>
      </c>
      <c r="G384" s="21">
        <v>0</v>
      </c>
      <c r="H384" s="30">
        <f t="shared" si="227"/>
        <v>0</v>
      </c>
      <c r="I384" s="21">
        <v>0</v>
      </c>
      <c r="J384" s="21">
        <f t="shared" si="248"/>
        <v>0</v>
      </c>
      <c r="K384" s="30">
        <f t="shared" si="254"/>
        <v>0</v>
      </c>
      <c r="L384" s="21">
        <f t="shared" si="250"/>
        <v>2197000</v>
      </c>
      <c r="M384" s="29">
        <f t="shared" si="255"/>
        <v>100</v>
      </c>
      <c r="N384" s="21">
        <f t="shared" si="252"/>
        <v>8788000</v>
      </c>
      <c r="O384" s="29">
        <f t="shared" si="253"/>
        <v>100</v>
      </c>
      <c r="Q384" s="47"/>
      <c r="R384" s="47"/>
      <c r="S384" s="47"/>
      <c r="T384" s="47"/>
      <c r="U384" s="56"/>
      <c r="V384" s="47"/>
      <c r="W384" s="47"/>
      <c r="X384" s="47"/>
      <c r="Y384" s="47"/>
      <c r="Z384" s="47"/>
      <c r="AA384" s="47"/>
    </row>
    <row r="385" spans="1:27" ht="19.8" customHeight="1" x14ac:dyDescent="0.3">
      <c r="A385" s="39" t="s">
        <v>311</v>
      </c>
      <c r="B385" s="40" t="s">
        <v>315</v>
      </c>
      <c r="C385" s="12"/>
      <c r="D385" s="15"/>
      <c r="E385" s="21">
        <v>3900000</v>
      </c>
      <c r="F385" s="92">
        <v>975000</v>
      </c>
      <c r="G385" s="21">
        <v>0</v>
      </c>
      <c r="H385" s="30">
        <f t="shared" si="227"/>
        <v>0</v>
      </c>
      <c r="I385" s="21">
        <v>0</v>
      </c>
      <c r="J385" s="14">
        <f t="shared" si="248"/>
        <v>0</v>
      </c>
      <c r="K385" s="30">
        <f t="shared" si="254"/>
        <v>0</v>
      </c>
      <c r="L385" s="21">
        <f t="shared" si="250"/>
        <v>975000</v>
      </c>
      <c r="M385" s="29">
        <f t="shared" si="255"/>
        <v>100</v>
      </c>
      <c r="N385" s="14">
        <f t="shared" si="252"/>
        <v>3900000</v>
      </c>
      <c r="O385" s="30">
        <f t="shared" si="253"/>
        <v>100</v>
      </c>
      <c r="Q385" s="47"/>
      <c r="R385" s="47"/>
      <c r="S385" s="47"/>
      <c r="T385" s="47"/>
      <c r="U385" s="56"/>
      <c r="V385" s="47"/>
      <c r="W385" s="47"/>
      <c r="X385" s="47"/>
      <c r="Y385" s="47"/>
      <c r="Z385" s="47"/>
      <c r="AA385" s="47"/>
    </row>
    <row r="386" spans="1:27" ht="20.399999999999999" customHeight="1" x14ac:dyDescent="0.3">
      <c r="A386" s="39" t="s">
        <v>31</v>
      </c>
      <c r="B386" s="40" t="s">
        <v>75</v>
      </c>
      <c r="C386" s="40"/>
      <c r="D386" s="51"/>
      <c r="E386" s="21">
        <v>9050000</v>
      </c>
      <c r="F386" s="92">
        <v>2262500</v>
      </c>
      <c r="G386" s="21">
        <v>0</v>
      </c>
      <c r="H386" s="30">
        <f t="shared" si="227"/>
        <v>0</v>
      </c>
      <c r="I386" s="21">
        <v>0</v>
      </c>
      <c r="J386" s="21">
        <f t="shared" si="248"/>
        <v>0</v>
      </c>
      <c r="K386" s="30">
        <f t="shared" si="254"/>
        <v>0</v>
      </c>
      <c r="L386" s="21">
        <f t="shared" si="250"/>
        <v>2262500</v>
      </c>
      <c r="M386" s="29">
        <f t="shared" si="255"/>
        <v>100</v>
      </c>
      <c r="N386" s="14">
        <f t="shared" si="252"/>
        <v>9050000</v>
      </c>
      <c r="O386" s="30">
        <f t="shared" si="253"/>
        <v>100</v>
      </c>
      <c r="Q386" s="47"/>
      <c r="R386" s="47"/>
      <c r="S386" s="47"/>
      <c r="T386" s="47"/>
      <c r="U386" s="56"/>
      <c r="V386" s="47"/>
      <c r="W386" s="47"/>
      <c r="X386" s="47"/>
      <c r="Y386" s="47"/>
      <c r="Z386" s="47"/>
      <c r="AA386" s="47"/>
    </row>
    <row r="387" spans="1:27" ht="23.4" customHeight="1" x14ac:dyDescent="0.3">
      <c r="A387" s="39" t="s">
        <v>312</v>
      </c>
      <c r="B387" s="40" t="s">
        <v>313</v>
      </c>
      <c r="C387" s="40"/>
      <c r="D387" s="51"/>
      <c r="E387" s="21">
        <v>8300000</v>
      </c>
      <c r="F387" s="92">
        <v>2075000</v>
      </c>
      <c r="G387" s="21">
        <v>0</v>
      </c>
      <c r="H387" s="30">
        <f t="shared" si="227"/>
        <v>0</v>
      </c>
      <c r="I387" s="21">
        <v>0</v>
      </c>
      <c r="J387" s="21">
        <f t="shared" si="248"/>
        <v>0</v>
      </c>
      <c r="K387" s="30">
        <f t="shared" si="254"/>
        <v>0</v>
      </c>
      <c r="L387" s="21">
        <f t="shared" si="250"/>
        <v>2075000</v>
      </c>
      <c r="M387" s="29">
        <f t="shared" si="255"/>
        <v>100</v>
      </c>
      <c r="N387" s="14">
        <f t="shared" si="252"/>
        <v>8300000</v>
      </c>
      <c r="O387" s="30">
        <f t="shared" si="253"/>
        <v>100</v>
      </c>
      <c r="Q387" s="47"/>
      <c r="R387" s="47"/>
      <c r="S387" s="47"/>
      <c r="T387" s="47"/>
      <c r="U387" s="56"/>
      <c r="V387" s="47"/>
      <c r="W387" s="47"/>
      <c r="X387" s="47"/>
      <c r="Y387" s="47"/>
      <c r="Z387" s="47"/>
      <c r="AA387" s="47"/>
    </row>
    <row r="388" spans="1:27" ht="17.399999999999999" customHeight="1" x14ac:dyDescent="0.3">
      <c r="A388" s="57" t="s">
        <v>32</v>
      </c>
      <c r="B388" s="13" t="s">
        <v>16</v>
      </c>
      <c r="C388" s="40"/>
      <c r="D388" s="51"/>
      <c r="E388" s="14">
        <v>12000000</v>
      </c>
      <c r="F388" s="92">
        <v>4000000</v>
      </c>
      <c r="G388" s="14">
        <v>0</v>
      </c>
      <c r="H388" s="30">
        <f t="shared" si="227"/>
        <v>0</v>
      </c>
      <c r="I388" s="14">
        <v>0</v>
      </c>
      <c r="J388" s="21">
        <f t="shared" si="248"/>
        <v>0</v>
      </c>
      <c r="K388" s="30">
        <f t="shared" si="254"/>
        <v>0</v>
      </c>
      <c r="L388" s="21">
        <f t="shared" si="250"/>
        <v>4000000</v>
      </c>
      <c r="M388" s="29">
        <f t="shared" si="255"/>
        <v>100</v>
      </c>
      <c r="N388" s="14">
        <f t="shared" si="252"/>
        <v>12000000</v>
      </c>
      <c r="O388" s="30">
        <f t="shared" si="253"/>
        <v>100</v>
      </c>
      <c r="Q388" s="47"/>
      <c r="R388" s="47"/>
      <c r="S388" s="47"/>
      <c r="T388" s="47"/>
      <c r="U388" s="56"/>
      <c r="V388" s="47"/>
      <c r="W388" s="47"/>
      <c r="X388" s="47"/>
      <c r="Y388" s="47"/>
      <c r="Z388" s="47"/>
      <c r="AA388" s="47"/>
    </row>
    <row r="389" spans="1:27" ht="19.2" customHeight="1" x14ac:dyDescent="0.3">
      <c r="A389" s="57" t="s">
        <v>33</v>
      </c>
      <c r="B389" s="13" t="s">
        <v>34</v>
      </c>
      <c r="C389" s="13"/>
      <c r="D389" s="48"/>
      <c r="E389" s="14">
        <v>48000000</v>
      </c>
      <c r="F389" s="92">
        <v>8000000</v>
      </c>
      <c r="G389" s="14">
        <v>0</v>
      </c>
      <c r="H389" s="30">
        <f t="shared" si="227"/>
        <v>0</v>
      </c>
      <c r="I389" s="14">
        <f>8000000</f>
        <v>8000000</v>
      </c>
      <c r="J389" s="21">
        <f t="shared" si="248"/>
        <v>8000000</v>
      </c>
      <c r="K389" s="30">
        <f t="shared" si="254"/>
        <v>100</v>
      </c>
      <c r="L389" s="21">
        <f t="shared" si="250"/>
        <v>0</v>
      </c>
      <c r="M389" s="29">
        <f t="shared" si="255"/>
        <v>0</v>
      </c>
      <c r="N389" s="14">
        <f t="shared" si="252"/>
        <v>40000000</v>
      </c>
      <c r="O389" s="30">
        <f t="shared" si="253"/>
        <v>83.333333333333343</v>
      </c>
      <c r="Q389" s="47"/>
      <c r="R389" s="47"/>
      <c r="S389" s="47"/>
      <c r="T389" s="47"/>
      <c r="U389" s="56"/>
      <c r="V389" s="47"/>
      <c r="W389" s="47"/>
      <c r="X389" s="47"/>
      <c r="Y389" s="47"/>
      <c r="Z389" s="47"/>
      <c r="AA389" s="47"/>
    </row>
    <row r="390" spans="1:27" ht="21" customHeight="1" x14ac:dyDescent="0.3">
      <c r="A390" s="57" t="s">
        <v>52</v>
      </c>
      <c r="B390" s="13" t="s">
        <v>36</v>
      </c>
      <c r="C390" s="12"/>
      <c r="D390" s="15"/>
      <c r="E390" s="14">
        <f>SUM(E391:E393)</f>
        <v>238540000</v>
      </c>
      <c r="F390" s="92">
        <v>55080000</v>
      </c>
      <c r="G390" s="14">
        <f>SUM(G391:G393)</f>
        <v>0</v>
      </c>
      <c r="H390" s="30">
        <f t="shared" si="227"/>
        <v>0</v>
      </c>
      <c r="I390" s="14">
        <f>SUM(I391:I393)</f>
        <v>14980000</v>
      </c>
      <c r="J390" s="21">
        <f t="shared" si="248"/>
        <v>14980000</v>
      </c>
      <c r="K390" s="30">
        <f t="shared" si="254"/>
        <v>27.19680464778504</v>
      </c>
      <c r="L390" s="21">
        <f t="shared" si="250"/>
        <v>40100000</v>
      </c>
      <c r="M390" s="29">
        <f t="shared" si="255"/>
        <v>72.803195352214956</v>
      </c>
      <c r="N390" s="14">
        <f t="shared" si="252"/>
        <v>223560000</v>
      </c>
      <c r="O390" s="30">
        <f t="shared" si="253"/>
        <v>93.720130795673683</v>
      </c>
      <c r="Q390" s="47"/>
      <c r="R390" s="47"/>
      <c r="S390" s="47"/>
      <c r="T390" s="47"/>
      <c r="U390" s="56"/>
      <c r="V390" s="47"/>
      <c r="W390" s="47"/>
      <c r="X390" s="47"/>
      <c r="Y390" s="47"/>
      <c r="Z390" s="47"/>
      <c r="AA390" s="47"/>
    </row>
    <row r="391" spans="1:27" ht="22.2" customHeight="1" x14ac:dyDescent="0.3">
      <c r="A391" s="57"/>
      <c r="B391" s="13" t="s">
        <v>331</v>
      </c>
      <c r="C391" s="12"/>
      <c r="D391" s="15"/>
      <c r="E391" s="14">
        <v>160320000</v>
      </c>
      <c r="F391" s="89"/>
      <c r="G391" s="14">
        <v>0</v>
      </c>
      <c r="H391" s="30"/>
      <c r="I391" s="14">
        <v>0</v>
      </c>
      <c r="J391" s="21">
        <f t="shared" si="248"/>
        <v>0</v>
      </c>
      <c r="K391" s="30"/>
      <c r="L391" s="21"/>
      <c r="M391" s="29"/>
      <c r="N391" s="14">
        <f t="shared" si="252"/>
        <v>160320000</v>
      </c>
      <c r="O391" s="30">
        <f t="shared" si="253"/>
        <v>100</v>
      </c>
      <c r="Q391" s="47"/>
      <c r="R391" s="47"/>
      <c r="S391" s="47"/>
      <c r="T391" s="47"/>
      <c r="U391" s="56"/>
      <c r="V391" s="47"/>
      <c r="W391" s="47"/>
      <c r="X391" s="47"/>
      <c r="Y391" s="47"/>
      <c r="Z391" s="47"/>
      <c r="AA391" s="47"/>
    </row>
    <row r="392" spans="1:27" ht="22.2" customHeight="1" x14ac:dyDescent="0.3">
      <c r="A392" s="57"/>
      <c r="B392" s="13" t="s">
        <v>334</v>
      </c>
      <c r="C392" s="12"/>
      <c r="D392" s="15"/>
      <c r="E392" s="14">
        <f>16020000+12520000+26100000</f>
        <v>54640000</v>
      </c>
      <c r="F392" s="89"/>
      <c r="G392" s="14">
        <v>0</v>
      </c>
      <c r="H392" s="30"/>
      <c r="I392" s="14">
        <f>14980000</f>
        <v>14980000</v>
      </c>
      <c r="J392" s="21">
        <f t="shared" si="248"/>
        <v>14980000</v>
      </c>
      <c r="K392" s="30"/>
      <c r="L392" s="21"/>
      <c r="M392" s="29"/>
      <c r="N392" s="14">
        <f t="shared" si="252"/>
        <v>39660000</v>
      </c>
      <c r="O392" s="30">
        <f t="shared" si="253"/>
        <v>72.584187408491957</v>
      </c>
      <c r="Q392" s="47"/>
      <c r="R392" s="47"/>
      <c r="S392" s="47"/>
      <c r="T392" s="47"/>
      <c r="U392" s="56"/>
      <c r="V392" s="47"/>
      <c r="W392" s="47"/>
      <c r="X392" s="47"/>
      <c r="Y392" s="47"/>
      <c r="Z392" s="47"/>
      <c r="AA392" s="47"/>
    </row>
    <row r="393" spans="1:27" ht="19.8" customHeight="1" x14ac:dyDescent="0.3">
      <c r="A393" s="57"/>
      <c r="B393" s="13" t="s">
        <v>335</v>
      </c>
      <c r="C393" s="12"/>
      <c r="D393" s="15"/>
      <c r="E393" s="14">
        <f>7310000+8410000+7860000</f>
        <v>23580000</v>
      </c>
      <c r="F393" s="89"/>
      <c r="G393" s="14">
        <v>0</v>
      </c>
      <c r="H393" s="30"/>
      <c r="I393" s="14">
        <v>0</v>
      </c>
      <c r="J393" s="21">
        <f t="shared" si="248"/>
        <v>0</v>
      </c>
      <c r="K393" s="30">
        <v>0</v>
      </c>
      <c r="L393" s="21">
        <f t="shared" ref="L393" si="256">F393-J393</f>
        <v>0</v>
      </c>
      <c r="M393" s="29">
        <v>0</v>
      </c>
      <c r="N393" s="14">
        <f t="shared" si="252"/>
        <v>23580000</v>
      </c>
      <c r="O393" s="30">
        <f t="shared" si="253"/>
        <v>100</v>
      </c>
      <c r="Q393" s="47"/>
      <c r="R393" s="47"/>
      <c r="S393" s="47"/>
      <c r="T393" s="47"/>
      <c r="U393" s="56"/>
      <c r="V393" s="47"/>
      <c r="W393" s="47"/>
      <c r="X393" s="47"/>
      <c r="Y393" s="47"/>
      <c r="Z393" s="47"/>
      <c r="AA393" s="47"/>
    </row>
    <row r="394" spans="1:27" ht="18" customHeight="1" x14ac:dyDescent="0.3">
      <c r="A394" s="76"/>
      <c r="B394" s="13"/>
      <c r="C394" s="12"/>
      <c r="D394" s="15"/>
      <c r="E394" s="14"/>
      <c r="F394" s="14"/>
      <c r="G394" s="19"/>
      <c r="H394" s="28"/>
      <c r="I394" s="19"/>
      <c r="J394" s="22"/>
      <c r="K394" s="28"/>
      <c r="L394" s="22"/>
      <c r="M394" s="32"/>
      <c r="N394" s="19"/>
      <c r="O394" s="28"/>
      <c r="Q394" s="47"/>
      <c r="R394" s="47"/>
      <c r="S394" s="47"/>
      <c r="T394" s="47"/>
      <c r="U394" s="56"/>
      <c r="V394" s="47"/>
      <c r="W394" s="47"/>
      <c r="X394" s="47"/>
      <c r="Y394" s="47"/>
      <c r="Z394" s="47"/>
      <c r="AA394" s="47"/>
    </row>
    <row r="395" spans="1:27" ht="44.4" customHeight="1" x14ac:dyDescent="0.3">
      <c r="A395" s="107" t="s">
        <v>17</v>
      </c>
      <c r="B395" s="107"/>
      <c r="C395" s="3"/>
      <c r="D395" s="73"/>
      <c r="E395" s="17">
        <f>E10</f>
        <v>19457645050</v>
      </c>
      <c r="F395" s="17">
        <f>F10</f>
        <v>8542718754</v>
      </c>
      <c r="G395" s="17">
        <f>G10</f>
        <v>4879784079</v>
      </c>
      <c r="H395" s="26">
        <f>G395/F395*100</f>
        <v>57.122143658482429</v>
      </c>
      <c r="I395" s="17">
        <f>I10</f>
        <v>878811435</v>
      </c>
      <c r="J395" s="17">
        <f t="shared" si="248"/>
        <v>5758595514</v>
      </c>
      <c r="K395" s="26">
        <f t="shared" si="254"/>
        <v>67.40940068176333</v>
      </c>
      <c r="L395" s="17">
        <f>F395-J395</f>
        <v>2784123240</v>
      </c>
      <c r="M395" s="26">
        <f t="shared" si="255"/>
        <v>32.59059931823667</v>
      </c>
      <c r="N395" s="17">
        <f t="shared" si="252"/>
        <v>13699049536</v>
      </c>
      <c r="O395" s="26">
        <f t="shared" si="253"/>
        <v>70.40445799477672</v>
      </c>
      <c r="P395" s="97"/>
      <c r="Q395" s="47"/>
      <c r="R395" s="47"/>
      <c r="S395" s="47"/>
      <c r="T395" s="47"/>
      <c r="U395" s="56"/>
      <c r="V395" s="47"/>
      <c r="W395" s="47"/>
      <c r="X395" s="47"/>
      <c r="Y395" s="47"/>
      <c r="Z395" s="47"/>
      <c r="AA395" s="47"/>
    </row>
    <row r="396" spans="1:27" x14ac:dyDescent="0.3">
      <c r="B396" s="78"/>
      <c r="C396" s="78"/>
      <c r="D396" s="78"/>
      <c r="E396" s="79"/>
      <c r="F396" s="79"/>
      <c r="G396" s="80"/>
      <c r="H396" s="80"/>
      <c r="I396" s="80"/>
      <c r="J396" s="80"/>
      <c r="K396" s="80"/>
      <c r="L396" s="80"/>
      <c r="M396" s="80"/>
      <c r="N396" s="81"/>
      <c r="O396" s="80"/>
      <c r="P396" s="80"/>
      <c r="U396" s="5"/>
    </row>
    <row r="397" spans="1:27" x14ac:dyDescent="0.3">
      <c r="B397" s="78"/>
      <c r="C397" s="78"/>
      <c r="D397" s="78"/>
      <c r="E397" s="79"/>
      <c r="F397" s="102"/>
      <c r="G397" s="80"/>
      <c r="H397" s="80"/>
      <c r="I397" s="80"/>
      <c r="J397" s="81" t="s">
        <v>450</v>
      </c>
      <c r="K397" s="80"/>
      <c r="L397" s="80"/>
      <c r="M397" s="80"/>
      <c r="N397" s="47"/>
      <c r="O397" s="80"/>
      <c r="P397" s="80"/>
      <c r="Q397" s="80"/>
      <c r="U397" s="5"/>
    </row>
    <row r="398" spans="1:27" x14ac:dyDescent="0.3">
      <c r="B398" s="78"/>
      <c r="C398" s="78"/>
      <c r="D398" s="78"/>
      <c r="E398" s="79"/>
      <c r="F398" s="102"/>
      <c r="G398" s="80"/>
      <c r="I398" s="82"/>
      <c r="J398" s="81" t="s">
        <v>309</v>
      </c>
      <c r="N398" s="47"/>
      <c r="P398" s="80"/>
    </row>
    <row r="399" spans="1:27" x14ac:dyDescent="0.3">
      <c r="B399" s="78"/>
      <c r="C399" s="78"/>
      <c r="D399" s="78"/>
      <c r="E399" s="79"/>
      <c r="F399" s="102"/>
      <c r="G399" s="80"/>
      <c r="I399" s="46"/>
      <c r="J399" s="81"/>
      <c r="N399" s="47"/>
      <c r="Q399" s="80"/>
    </row>
    <row r="400" spans="1:27" x14ac:dyDescent="0.3">
      <c r="B400" s="78"/>
      <c r="C400" s="78"/>
      <c r="D400" s="78"/>
      <c r="E400" s="79"/>
      <c r="F400" s="102"/>
      <c r="G400" s="80"/>
      <c r="I400" s="44" t="s">
        <v>20</v>
      </c>
      <c r="J400" s="81"/>
      <c r="N400" s="47"/>
      <c r="Q400" s="80"/>
    </row>
    <row r="401" spans="1:38" x14ac:dyDescent="0.3">
      <c r="B401" s="78"/>
      <c r="C401" s="78"/>
      <c r="D401" s="78"/>
      <c r="E401" s="79"/>
      <c r="F401" s="102"/>
      <c r="G401" s="80"/>
      <c r="J401" s="81"/>
      <c r="Q401" s="80"/>
      <c r="R401" s="80"/>
    </row>
    <row r="402" spans="1:38" s="44" customFormat="1" x14ac:dyDescent="0.3">
      <c r="A402" s="77"/>
      <c r="B402" s="78"/>
      <c r="C402" s="78"/>
      <c r="D402" s="78"/>
      <c r="E402" s="79"/>
      <c r="F402" s="102"/>
      <c r="G402" s="80"/>
      <c r="I402" s="44" t="s">
        <v>98</v>
      </c>
      <c r="J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</row>
    <row r="403" spans="1:38" s="44" customFormat="1" x14ac:dyDescent="0.3">
      <c r="A403" s="77"/>
      <c r="B403" s="78"/>
      <c r="C403" s="78"/>
      <c r="D403" s="78"/>
      <c r="E403" s="79"/>
      <c r="F403" s="102"/>
      <c r="G403" s="80"/>
      <c r="J403" s="83" t="s">
        <v>308</v>
      </c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</row>
    <row r="404" spans="1:38" s="44" customFormat="1" x14ac:dyDescent="0.3">
      <c r="A404" s="77"/>
      <c r="B404" s="78"/>
      <c r="C404" s="78"/>
      <c r="D404" s="78"/>
      <c r="E404" s="79"/>
      <c r="F404" s="79"/>
      <c r="G404" s="80"/>
      <c r="J404" s="84" t="s">
        <v>341</v>
      </c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</row>
    <row r="405" spans="1:38" s="44" customFormat="1" x14ac:dyDescent="0.3">
      <c r="A405" s="77"/>
      <c r="B405" s="43"/>
      <c r="C405" s="43"/>
      <c r="D405" s="43"/>
      <c r="E405" s="79"/>
      <c r="F405" s="79"/>
      <c r="G405" s="80"/>
      <c r="J405" s="84" t="s">
        <v>305</v>
      </c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</row>
    <row r="406" spans="1:38" s="44" customFormat="1" x14ac:dyDescent="0.3">
      <c r="A406" s="77"/>
      <c r="B406" s="43"/>
      <c r="C406" s="43"/>
      <c r="D406" s="43"/>
      <c r="E406" s="79"/>
      <c r="F406" s="79"/>
      <c r="G406" s="80"/>
      <c r="N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</row>
  </sheetData>
  <mergeCells count="13">
    <mergeCell ref="L5:M6"/>
    <mergeCell ref="N5:O6"/>
    <mergeCell ref="A395:B395"/>
    <mergeCell ref="A1:O1"/>
    <mergeCell ref="A2:O2"/>
    <mergeCell ref="A3:O3"/>
    <mergeCell ref="B5:B7"/>
    <mergeCell ref="C5:C7"/>
    <mergeCell ref="E5:E6"/>
    <mergeCell ref="F5:F6"/>
    <mergeCell ref="G5:H6"/>
    <mergeCell ref="I5:I6"/>
    <mergeCell ref="J5:K6"/>
  </mergeCells>
  <printOptions verticalCentered="1"/>
  <pageMargins left="0" right="0" top="0.31496062992125984" bottom="0.35433070866141736" header="0.31496062992125984" footer="0.35433070866141736"/>
  <pageSetup paperSize="10000" scale="60" orientation="landscape" horizontalDpi="4294967293" r:id="rId1"/>
  <rowBreaks count="13" manualBreakCount="13">
    <brk id="30" max="14" man="1"/>
    <brk id="62" max="14" man="1"/>
    <brk id="87" max="14" man="1"/>
    <brk id="112" max="14" man="1"/>
    <brk id="133" max="14" man="1"/>
    <brk id="162" max="14" man="1"/>
    <brk id="195" max="14" man="1"/>
    <brk id="227" max="14" man="1"/>
    <brk id="261" max="14" man="1"/>
    <brk id="288" max="14" man="1"/>
    <brk id="317" max="14" man="1"/>
    <brk id="345" max="14" man="1"/>
    <brk id="3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MARET</vt:lpstr>
      <vt:lpstr>MARET!Print_Area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Affandi A. ST</dc:creator>
  <cp:lastModifiedBy>irma Masri</cp:lastModifiedBy>
  <cp:lastPrinted>2024-03-19T02:29:23Z</cp:lastPrinted>
  <dcterms:created xsi:type="dcterms:W3CDTF">2013-09-23T01:22:03Z</dcterms:created>
  <dcterms:modified xsi:type="dcterms:W3CDTF">2024-03-29T07:22:48Z</dcterms:modified>
</cp:coreProperties>
</file>