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at Nuha\Downloads\"/>
    </mc:Choice>
  </mc:AlternateContent>
  <bookViews>
    <workbookView xWindow="0" yWindow="0" windowWidth="20490" windowHeight="7365"/>
  </bookViews>
  <sheets>
    <sheet name="Form 1" sheetId="20" r:id="rId1"/>
  </sheets>
  <externalReferences>
    <externalReference r:id="rId2"/>
  </externalReferences>
  <definedNames>
    <definedName name="KUA">'[1]KUA-PPAS'!$B$3:$K$104</definedName>
    <definedName name="_xlnm.Print_Area" localSheetId="0">'Form 1'!$A$1:$AB$79</definedName>
    <definedName name="_xlnm.Print_Titles" localSheetId="0">'Form 1'!$5:$8</definedName>
    <definedName name="RKA">[1]RKA!$B$4:$N$1048576</definedName>
    <definedName name="RKPD">[1]RKPD!$B$3:$M$1048576</definedName>
    <definedName name="RPJMD">'[1]Program RPJMD_pokok'!$B$3:$P$61</definedName>
    <definedName name="RPJMD2">'[1]Program RPJMD_revisi'!$B$3:$O$1048576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20" l="1"/>
  <c r="N69" i="20"/>
  <c r="N46" i="20"/>
  <c r="N44" i="20"/>
  <c r="N27" i="20"/>
  <c r="N15" i="20"/>
  <c r="N68" i="20"/>
  <c r="N49" i="20"/>
  <c r="O49" i="20" s="1"/>
  <c r="J18" i="20" l="1"/>
  <c r="O15" i="20" l="1"/>
  <c r="N48" i="20"/>
  <c r="N47" i="20" s="1"/>
  <c r="N36" i="20"/>
  <c r="O46" i="20"/>
  <c r="N67" i="20"/>
  <c r="N66" i="20" s="1"/>
  <c r="O69" i="20"/>
  <c r="O68" i="20"/>
  <c r="O55" i="20"/>
  <c r="Q55" i="20" s="1"/>
  <c r="R55" i="20" s="1"/>
  <c r="O44" i="20"/>
  <c r="O37" i="20"/>
  <c r="Q37" i="20" s="1"/>
  <c r="R37" i="20" s="1"/>
  <c r="O30" i="20"/>
  <c r="O27" i="20"/>
  <c r="E18" i="20"/>
  <c r="J13" i="20"/>
  <c r="E13" i="20"/>
  <c r="J21" i="20"/>
  <c r="E21" i="20"/>
  <c r="J23" i="20"/>
  <c r="E23" i="20"/>
  <c r="J25" i="20"/>
  <c r="E25" i="20"/>
  <c r="J28" i="20"/>
  <c r="E28" i="20"/>
  <c r="J36" i="20"/>
  <c r="E36" i="20"/>
  <c r="J38" i="20"/>
  <c r="E38" i="20"/>
  <c r="J42" i="20"/>
  <c r="E42" i="20"/>
  <c r="J48" i="20"/>
  <c r="J47" i="20" s="1"/>
  <c r="E48" i="20"/>
  <c r="E47" i="20" s="1"/>
  <c r="J51" i="20"/>
  <c r="E51" i="20"/>
  <c r="J54" i="20"/>
  <c r="E54" i="20"/>
  <c r="J58" i="20"/>
  <c r="E58" i="20"/>
  <c r="J61" i="20"/>
  <c r="E61" i="20"/>
  <c r="E64" i="20"/>
  <c r="E63" i="20" s="1"/>
  <c r="J64" i="20"/>
  <c r="J63" i="20" s="1"/>
  <c r="E67" i="20"/>
  <c r="E66" i="20" s="1"/>
  <c r="J67" i="20"/>
  <c r="J66" i="20" s="1"/>
  <c r="Q15" i="20" l="1"/>
  <c r="R15" i="20" s="1"/>
  <c r="P68" i="20"/>
  <c r="Q46" i="20"/>
  <c r="R46" i="20" s="1"/>
  <c r="P44" i="20"/>
  <c r="P69" i="20"/>
  <c r="Q27" i="20"/>
  <c r="R27" i="20" s="1"/>
  <c r="S49" i="20"/>
  <c r="T49" i="20" s="1"/>
  <c r="E12" i="20"/>
  <c r="S30" i="20"/>
  <c r="T30" i="20" s="1"/>
  <c r="P46" i="20"/>
  <c r="Q30" i="20"/>
  <c r="R30" i="20" s="1"/>
  <c r="Q49" i="20"/>
  <c r="R49" i="20" s="1"/>
  <c r="S37" i="20"/>
  <c r="T37" i="20" s="1"/>
  <c r="S44" i="20"/>
  <c r="T44" i="20" s="1"/>
  <c r="S68" i="20"/>
  <c r="P37" i="20"/>
  <c r="P55" i="20"/>
  <c r="Q44" i="20"/>
  <c r="R44" i="20" s="1"/>
  <c r="Q68" i="20"/>
  <c r="R68" i="20" s="1"/>
  <c r="S69" i="20"/>
  <c r="T69" i="20" s="1"/>
  <c r="E50" i="20"/>
  <c r="P27" i="20"/>
  <c r="Q69" i="20"/>
  <c r="R69" i="20" s="1"/>
  <c r="S27" i="20"/>
  <c r="T27" i="20" s="1"/>
  <c r="S46" i="20"/>
  <c r="T46" i="20" s="1"/>
  <c r="S55" i="20"/>
  <c r="T55" i="20" s="1"/>
  <c r="E57" i="20"/>
  <c r="J57" i="20"/>
  <c r="J50" i="20"/>
  <c r="P30" i="20"/>
  <c r="P49" i="20"/>
  <c r="P15" i="20"/>
  <c r="S15" i="20"/>
  <c r="T15" i="20" s="1"/>
  <c r="V15" i="20"/>
  <c r="J12" i="20"/>
  <c r="M45" i="20"/>
  <c r="M43" i="20"/>
  <c r="M40" i="20"/>
  <c r="M39" i="20"/>
  <c r="M35" i="20"/>
  <c r="M34" i="20"/>
  <c r="M33" i="20"/>
  <c r="M26" i="20"/>
  <c r="M65" i="20"/>
  <c r="M56" i="20"/>
  <c r="M53" i="20"/>
  <c r="N56" i="20" l="1"/>
  <c r="N54" i="20" s="1"/>
  <c r="N43" i="20"/>
  <c r="N42" i="20" s="1"/>
  <c r="O45" i="20"/>
  <c r="N45" i="20"/>
  <c r="E11" i="20"/>
  <c r="E70" i="20" s="1"/>
  <c r="E71" i="20" s="1"/>
  <c r="S67" i="20"/>
  <c r="T67" i="20" s="1"/>
  <c r="T68" i="20"/>
  <c r="P45" i="20"/>
  <c r="Q45" i="20"/>
  <c r="R45" i="20" s="1"/>
  <c r="S45" i="20"/>
  <c r="T45" i="20" s="1"/>
  <c r="J11" i="20"/>
  <c r="M20" i="20"/>
  <c r="M41" i="20"/>
  <c r="M22" i="20"/>
  <c r="M19" i="20"/>
  <c r="L14" i="20"/>
  <c r="N14" i="20" s="1"/>
  <c r="M14" i="20"/>
  <c r="M16" i="20"/>
  <c r="N41" i="20" l="1"/>
  <c r="O41" i="20" s="1"/>
  <c r="O56" i="20"/>
  <c r="N16" i="20"/>
  <c r="O16" i="20" s="1"/>
  <c r="O43" i="20"/>
  <c r="O14" i="20"/>
  <c r="J70" i="20"/>
  <c r="J71" i="20" s="1"/>
  <c r="M13" i="20"/>
  <c r="O67" i="20"/>
  <c r="O66" i="20" s="1"/>
  <c r="O24" i="20"/>
  <c r="I23" i="20"/>
  <c r="I25" i="20"/>
  <c r="I28" i="20"/>
  <c r="I36" i="20"/>
  <c r="I38" i="20"/>
  <c r="I48" i="20"/>
  <c r="I47" i="20" s="1"/>
  <c r="I51" i="20"/>
  <c r="I54" i="20"/>
  <c r="I58" i="20"/>
  <c r="I61" i="20"/>
  <c r="I64" i="20"/>
  <c r="I63" i="20" s="1"/>
  <c r="I67" i="20"/>
  <c r="I66" i="20" s="1"/>
  <c r="I21" i="20"/>
  <c r="I18" i="20"/>
  <c r="I13" i="20"/>
  <c r="M25" i="20"/>
  <c r="M36" i="20"/>
  <c r="M42" i="20"/>
  <c r="M48" i="20"/>
  <c r="M47" i="20" s="1"/>
  <c r="M54" i="20"/>
  <c r="M58" i="20"/>
  <c r="M61" i="20"/>
  <c r="M64" i="20"/>
  <c r="M63" i="20" s="1"/>
  <c r="M67" i="20"/>
  <c r="M66" i="20" s="1"/>
  <c r="M28" i="20"/>
  <c r="M21" i="20"/>
  <c r="M18" i="20"/>
  <c r="M51" i="20"/>
  <c r="M38" i="20"/>
  <c r="P16" i="20" l="1"/>
  <c r="V16" i="20"/>
  <c r="Q16" i="20"/>
  <c r="R16" i="20" s="1"/>
  <c r="S16" i="20"/>
  <c r="T16" i="20" s="1"/>
  <c r="V41" i="20"/>
  <c r="P41" i="20"/>
  <c r="Q41" i="20"/>
  <c r="R41" i="20" s="1"/>
  <c r="S41" i="20"/>
  <c r="T41" i="20" s="1"/>
  <c r="P56" i="20"/>
  <c r="Q56" i="20"/>
  <c r="R56" i="20" s="1"/>
  <c r="S56" i="20"/>
  <c r="T56" i="20" s="1"/>
  <c r="Q43" i="20"/>
  <c r="R43" i="20" s="1"/>
  <c r="S43" i="20"/>
  <c r="T43" i="20" s="1"/>
  <c r="P43" i="20"/>
  <c r="I57" i="20"/>
  <c r="I12" i="20"/>
  <c r="Q24" i="20"/>
  <c r="R24" i="20" s="1"/>
  <c r="S24" i="20"/>
  <c r="T24" i="20" s="1"/>
  <c r="P24" i="20"/>
  <c r="M12" i="20"/>
  <c r="V14" i="20"/>
  <c r="P14" i="20"/>
  <c r="Q14" i="20"/>
  <c r="R14" i="20" s="1"/>
  <c r="S14" i="20"/>
  <c r="T14" i="20" s="1"/>
  <c r="I50" i="20"/>
  <c r="M57" i="20"/>
  <c r="M50" i="20"/>
  <c r="O48" i="20"/>
  <c r="M11" i="20" l="1"/>
  <c r="I11" i="20"/>
  <c r="I70" i="20" s="1"/>
  <c r="I71" i="20" s="1"/>
  <c r="O47" i="20"/>
  <c r="M70" i="20"/>
  <c r="M71" i="20" s="1"/>
  <c r="K54" i="20"/>
  <c r="L54" i="20"/>
  <c r="L42" i="20"/>
  <c r="L25" i="20"/>
  <c r="L23" i="20"/>
  <c r="L67" i="20"/>
  <c r="L66" i="20" s="1"/>
  <c r="L65" i="20"/>
  <c r="L53" i="20"/>
  <c r="L59" i="20"/>
  <c r="L62" i="20"/>
  <c r="L35" i="20"/>
  <c r="L40" i="20"/>
  <c r="L39" i="20"/>
  <c r="L36" i="20"/>
  <c r="L34" i="20"/>
  <c r="L33" i="20"/>
  <c r="L32" i="20"/>
  <c r="L31" i="20"/>
  <c r="L29" i="20"/>
  <c r="L22" i="20"/>
  <c r="L19" i="20"/>
  <c r="L17" i="20"/>
  <c r="L20" i="20"/>
  <c r="Q54" i="20"/>
  <c r="K48" i="20"/>
  <c r="K47" i="20" s="1"/>
  <c r="L48" i="20"/>
  <c r="L47" i="20" s="1"/>
  <c r="Q42" i="20"/>
  <c r="K67" i="20"/>
  <c r="K66" i="20" s="1"/>
  <c r="K64" i="20"/>
  <c r="K63" i="20" s="1"/>
  <c r="K61" i="20"/>
  <c r="K60" i="20"/>
  <c r="K52" i="20"/>
  <c r="K42" i="20"/>
  <c r="K38" i="20"/>
  <c r="K36" i="20"/>
  <c r="K28" i="20"/>
  <c r="K26" i="20"/>
  <c r="K23" i="20"/>
  <c r="K21" i="20"/>
  <c r="K18" i="20"/>
  <c r="K13" i="20"/>
  <c r="H28" i="20"/>
  <c r="G28" i="20"/>
  <c r="H13" i="20"/>
  <c r="G36" i="20"/>
  <c r="H36" i="20"/>
  <c r="G23" i="20"/>
  <c r="H23" i="20"/>
  <c r="G13" i="20"/>
  <c r="G18" i="20"/>
  <c r="H18" i="20"/>
  <c r="G21" i="20"/>
  <c r="H21" i="20"/>
  <c r="G25" i="20"/>
  <c r="H25" i="20"/>
  <c r="G42" i="20"/>
  <c r="H42" i="20"/>
  <c r="G48" i="20"/>
  <c r="G47" i="20" s="1"/>
  <c r="H48" i="20"/>
  <c r="H47" i="20" s="1"/>
  <c r="G64" i="20"/>
  <c r="G63" i="20" s="1"/>
  <c r="H64" i="20"/>
  <c r="H63" i="20" s="1"/>
  <c r="G61" i="20"/>
  <c r="H61" i="20"/>
  <c r="G58" i="20"/>
  <c r="H58" i="20"/>
  <c r="F54" i="20"/>
  <c r="G54" i="20"/>
  <c r="H54" i="20"/>
  <c r="D54" i="20"/>
  <c r="G51" i="20"/>
  <c r="H51" i="20"/>
  <c r="G67" i="20"/>
  <c r="G66" i="20" s="1"/>
  <c r="H67" i="20"/>
  <c r="H66" i="20" s="1"/>
  <c r="G38" i="20"/>
  <c r="H38" i="20"/>
  <c r="F38" i="20"/>
  <c r="N52" i="20" l="1"/>
  <c r="N22" i="20"/>
  <c r="N21" i="20" s="1"/>
  <c r="N33" i="20"/>
  <c r="O33" i="20" s="1"/>
  <c r="N40" i="20"/>
  <c r="O40" i="20" s="1"/>
  <c r="N53" i="20"/>
  <c r="O53" i="20" s="1"/>
  <c r="N20" i="20"/>
  <c r="O20" i="20" s="1"/>
  <c r="N29" i="20"/>
  <c r="N34" i="20"/>
  <c r="O34" i="20" s="1"/>
  <c r="N35" i="20"/>
  <c r="O35" i="20" s="1"/>
  <c r="N65" i="20"/>
  <c r="N64" i="20" s="1"/>
  <c r="N63" i="20" s="1"/>
  <c r="N17" i="20"/>
  <c r="N13" i="20" s="1"/>
  <c r="N31" i="20"/>
  <c r="O31" i="20" s="1"/>
  <c r="N62" i="20"/>
  <c r="N61" i="20" s="1"/>
  <c r="N26" i="20"/>
  <c r="N25" i="20" s="1"/>
  <c r="N19" i="20"/>
  <c r="N18" i="20" s="1"/>
  <c r="N32" i="20"/>
  <c r="O32" i="20" s="1"/>
  <c r="N39" i="20"/>
  <c r="N38" i="20" s="1"/>
  <c r="N59" i="20"/>
  <c r="L18" i="20"/>
  <c r="H50" i="20"/>
  <c r="R54" i="20"/>
  <c r="K25" i="20"/>
  <c r="K12" i="20" s="1"/>
  <c r="G57" i="20"/>
  <c r="K51" i="20"/>
  <c r="K50" i="20" s="1"/>
  <c r="L51" i="20"/>
  <c r="L61" i="20"/>
  <c r="L21" i="20"/>
  <c r="L28" i="20"/>
  <c r="L13" i="20"/>
  <c r="O23" i="20"/>
  <c r="L60" i="20"/>
  <c r="L64" i="20"/>
  <c r="L63" i="20" s="1"/>
  <c r="L38" i="20"/>
  <c r="O54" i="20"/>
  <c r="P54" i="20" s="1"/>
  <c r="L50" i="20"/>
  <c r="O36" i="20"/>
  <c r="H57" i="20"/>
  <c r="G12" i="20"/>
  <c r="H12" i="20"/>
  <c r="K58" i="20"/>
  <c r="G50" i="20"/>
  <c r="F36" i="20"/>
  <c r="S36" i="20"/>
  <c r="T36" i="20" s="1"/>
  <c r="Q32" i="20" l="1"/>
  <c r="R32" i="20" s="1"/>
  <c r="V32" i="20"/>
  <c r="P32" i="20"/>
  <c r="S32" i="20"/>
  <c r="T32" i="20" s="1"/>
  <c r="S31" i="20"/>
  <c r="T31" i="20" s="1"/>
  <c r="V31" i="20"/>
  <c r="P31" i="20"/>
  <c r="Q31" i="20"/>
  <c r="R31" i="20" s="1"/>
  <c r="V34" i="20"/>
  <c r="S34" i="20"/>
  <c r="T34" i="20" s="1"/>
  <c r="Q34" i="20"/>
  <c r="R34" i="20" s="1"/>
  <c r="P34" i="20"/>
  <c r="P40" i="20"/>
  <c r="S40" i="20"/>
  <c r="T40" i="20" s="1"/>
  <c r="Q40" i="20"/>
  <c r="R40" i="20" s="1"/>
  <c r="Q33" i="20"/>
  <c r="R33" i="20" s="1"/>
  <c r="V33" i="20"/>
  <c r="P33" i="20"/>
  <c r="S33" i="20"/>
  <c r="T33" i="20" s="1"/>
  <c r="P20" i="20"/>
  <c r="V20" i="20"/>
  <c r="S20" i="20"/>
  <c r="T20" i="20" s="1"/>
  <c r="Q20" i="20"/>
  <c r="R20" i="20" s="1"/>
  <c r="Q35" i="20"/>
  <c r="R35" i="20" s="1"/>
  <c r="S35" i="20"/>
  <c r="T35" i="20" s="1"/>
  <c r="V35" i="20"/>
  <c r="P35" i="20"/>
  <c r="P53" i="20"/>
  <c r="S53" i="20"/>
  <c r="T53" i="20" s="1"/>
  <c r="Q53" i="20"/>
  <c r="R53" i="20" s="1"/>
  <c r="N58" i="20"/>
  <c r="N57" i="20" s="1"/>
  <c r="O60" i="20"/>
  <c r="P60" i="20" s="1"/>
  <c r="N60" i="20"/>
  <c r="O59" i="20"/>
  <c r="O26" i="20"/>
  <c r="O65" i="20"/>
  <c r="O22" i="20"/>
  <c r="N28" i="20"/>
  <c r="N12" i="20" s="1"/>
  <c r="N11" i="20" s="1"/>
  <c r="N70" i="20" s="1"/>
  <c r="N71" i="20" s="1"/>
  <c r="N51" i="20"/>
  <c r="N50" i="20" s="1"/>
  <c r="O39" i="20"/>
  <c r="O19" i="20"/>
  <c r="O62" i="20"/>
  <c r="O17" i="20"/>
  <c r="O29" i="20"/>
  <c r="O52" i="20"/>
  <c r="Q60" i="20"/>
  <c r="R60" i="20" s="1"/>
  <c r="S60" i="20"/>
  <c r="T60" i="20" s="1"/>
  <c r="P36" i="20"/>
  <c r="S23" i="20"/>
  <c r="T23" i="20" s="1"/>
  <c r="G11" i="20"/>
  <c r="G70" i="20" s="1"/>
  <c r="G71" i="20" s="1"/>
  <c r="L12" i="20"/>
  <c r="Q36" i="20"/>
  <c r="R36" i="20" s="1"/>
  <c r="L58" i="20"/>
  <c r="L57" i="20" s="1"/>
  <c r="O25" i="20"/>
  <c r="H11" i="20"/>
  <c r="K57" i="20"/>
  <c r="P17" i="20" l="1"/>
  <c r="O13" i="20"/>
  <c r="Q17" i="20"/>
  <c r="R17" i="20" s="1"/>
  <c r="S17" i="20"/>
  <c r="T17" i="20" s="1"/>
  <c r="P65" i="20"/>
  <c r="V65" i="20"/>
  <c r="S65" i="20"/>
  <c r="Q65" i="20"/>
  <c r="R65" i="20" s="1"/>
  <c r="P62" i="20"/>
  <c r="Q62" i="20"/>
  <c r="S62" i="20"/>
  <c r="P26" i="20"/>
  <c r="V26" i="20"/>
  <c r="Q26" i="20"/>
  <c r="R26" i="20" s="1"/>
  <c r="S26" i="20"/>
  <c r="T26" i="20" s="1"/>
  <c r="S52" i="20"/>
  <c r="T52" i="20" s="1"/>
  <c r="P52" i="20"/>
  <c r="Q52" i="20"/>
  <c r="R52" i="20" s="1"/>
  <c r="S19" i="20"/>
  <c r="T19" i="20" s="1"/>
  <c r="Q19" i="20"/>
  <c r="R19" i="20" s="1"/>
  <c r="V19" i="20"/>
  <c r="P19" i="20"/>
  <c r="Q59" i="20"/>
  <c r="R59" i="20" s="1"/>
  <c r="S59" i="20"/>
  <c r="T59" i="20" s="1"/>
  <c r="P59" i="20"/>
  <c r="Q29" i="20"/>
  <c r="R29" i="20" s="1"/>
  <c r="S29" i="20"/>
  <c r="T29" i="20" s="1"/>
  <c r="P29" i="20"/>
  <c r="V29" i="20"/>
  <c r="Q39" i="20"/>
  <c r="R39" i="20" s="1"/>
  <c r="P39" i="20"/>
  <c r="S39" i="20"/>
  <c r="T39" i="20" s="1"/>
  <c r="P22" i="20"/>
  <c r="S22" i="20"/>
  <c r="T22" i="20" s="1"/>
  <c r="V22" i="20"/>
  <c r="Q22" i="20"/>
  <c r="R22" i="20" s="1"/>
  <c r="Q58" i="20"/>
  <c r="L11" i="20"/>
  <c r="L70" i="20" s="1"/>
  <c r="L71" i="20" s="1"/>
  <c r="Q13" i="20"/>
  <c r="Q51" i="20"/>
  <c r="H70" i="20"/>
  <c r="H71" i="20" s="1"/>
  <c r="K11" i="20"/>
  <c r="K70" i="20" s="1"/>
  <c r="D36" i="20"/>
  <c r="T62" i="20" l="1"/>
  <c r="S61" i="20"/>
  <c r="T61" i="20" s="1"/>
  <c r="S64" i="20"/>
  <c r="T65" i="20"/>
  <c r="R62" i="20"/>
  <c r="Q61" i="20"/>
  <c r="K71" i="20"/>
  <c r="S63" i="20" l="1"/>
  <c r="T63" i="20" s="1"/>
  <c r="T64" i="20"/>
  <c r="F58" i="20"/>
  <c r="R58" i="20" s="1"/>
  <c r="Q64" i="20"/>
  <c r="Q67" i="20" l="1"/>
  <c r="Q63" i="20"/>
  <c r="Q18" i="20"/>
  <c r="Q38" i="20"/>
  <c r="R38" i="20" s="1"/>
  <c r="Q66" i="20" l="1"/>
  <c r="D38" i="20" l="1"/>
  <c r="O38" i="20"/>
  <c r="P38" i="20" s="1"/>
  <c r="D67" i="20" l="1"/>
  <c r="O51" i="20"/>
  <c r="Q48" i="20"/>
  <c r="Q28" i="20"/>
  <c r="Q25" i="20"/>
  <c r="Q21" i="20"/>
  <c r="Q50" i="20" l="1"/>
  <c r="Q47" i="20"/>
  <c r="O58" i="20"/>
  <c r="P58" i="20" s="1"/>
  <c r="O42" i="20"/>
  <c r="O28" i="20"/>
  <c r="O18" i="20"/>
  <c r="F67" i="20"/>
  <c r="V18" i="20" l="1"/>
  <c r="Z13" i="20"/>
  <c r="P67" i="20"/>
  <c r="R67" i="20"/>
  <c r="F51" i="20" l="1"/>
  <c r="F61" i="20"/>
  <c r="R61" i="20" s="1"/>
  <c r="O61" i="20"/>
  <c r="D61" i="20"/>
  <c r="D58" i="20"/>
  <c r="D51" i="20"/>
  <c r="P61" i="20" l="1"/>
  <c r="R51" i="20"/>
  <c r="P51" i="20"/>
  <c r="S58" i="20"/>
  <c r="T58" i="20" s="1"/>
  <c r="D50" i="20"/>
  <c r="D57" i="20"/>
  <c r="O57" i="20"/>
  <c r="F57" i="20"/>
  <c r="F18" i="20"/>
  <c r="P57" i="20" l="1"/>
  <c r="X9" i="20"/>
  <c r="R18" i="20"/>
  <c r="P18" i="20"/>
  <c r="S57" i="20"/>
  <c r="Q57" i="20"/>
  <c r="R57" i="20" s="1"/>
  <c r="T57" i="20" l="1"/>
  <c r="O50" i="20" l="1"/>
  <c r="F13" i="20" l="1"/>
  <c r="O64" i="20"/>
  <c r="O21" i="20"/>
  <c r="P13" i="20" l="1"/>
  <c r="R13" i="20"/>
  <c r="O12" i="20"/>
  <c r="S48" i="20"/>
  <c r="T48" i="20" s="1"/>
  <c r="S54" i="20"/>
  <c r="T54" i="20" s="1"/>
  <c r="S51" i="20"/>
  <c r="T51" i="20" s="1"/>
  <c r="O63" i="20"/>
  <c r="V12" i="20" l="1"/>
  <c r="V13" i="20" s="1"/>
  <c r="O11" i="20"/>
  <c r="F21" i="20"/>
  <c r="F23" i="20"/>
  <c r="F25" i="20"/>
  <c r="F28" i="20"/>
  <c r="F42" i="20"/>
  <c r="F64" i="20"/>
  <c r="F48" i="20"/>
  <c r="D28" i="20"/>
  <c r="W11" i="20" l="1"/>
  <c r="X11" i="20" s="1"/>
  <c r="V11" i="20"/>
  <c r="P25" i="20"/>
  <c r="R25" i="20"/>
  <c r="R28" i="20"/>
  <c r="P28" i="20"/>
  <c r="R64" i="20"/>
  <c r="P64" i="20"/>
  <c r="Q23" i="20"/>
  <c r="P23" i="20"/>
  <c r="P48" i="20"/>
  <c r="R48" i="20"/>
  <c r="R42" i="20"/>
  <c r="P42" i="20"/>
  <c r="R21" i="20"/>
  <c r="P21" i="20"/>
  <c r="O70" i="20"/>
  <c r="F12" i="20"/>
  <c r="P12" i="20" s="1"/>
  <c r="F47" i="20"/>
  <c r="F66" i="20"/>
  <c r="F63" i="20"/>
  <c r="F50" i="20"/>
  <c r="D66" i="20"/>
  <c r="D13" i="20"/>
  <c r="D64" i="20"/>
  <c r="D48" i="20"/>
  <c r="D42" i="20"/>
  <c r="D25" i="20"/>
  <c r="D23" i="20"/>
  <c r="D21" i="20"/>
  <c r="D18" i="20"/>
  <c r="P47" i="20" l="1"/>
  <c r="R47" i="20"/>
  <c r="R23" i="20"/>
  <c r="Q12" i="20"/>
  <c r="Q11" i="20" s="1"/>
  <c r="R50" i="20"/>
  <c r="P50" i="20"/>
  <c r="R63" i="20"/>
  <c r="P63" i="20"/>
  <c r="P66" i="20"/>
  <c r="R66" i="20"/>
  <c r="O71" i="20"/>
  <c r="D12" i="20"/>
  <c r="F11" i="20"/>
  <c r="P11" i="20" s="1"/>
  <c r="S66" i="20"/>
  <c r="T66" i="20" s="1"/>
  <c r="D63" i="20"/>
  <c r="D47" i="20"/>
  <c r="S47" i="20" s="1"/>
  <c r="T47" i="20" s="1"/>
  <c r="S50" i="20"/>
  <c r="T50" i="20" s="1"/>
  <c r="R12" i="20" l="1"/>
  <c r="X8" i="20"/>
  <c r="Q70" i="20"/>
  <c r="Q71" i="20" s="1"/>
  <c r="R11" i="20"/>
  <c r="V21" i="20"/>
  <c r="F70" i="20"/>
  <c r="P70" i="20" s="1"/>
  <c r="D11" i="20"/>
  <c r="D70" i="20" s="1"/>
  <c r="S70" i="20" s="1"/>
  <c r="T70" i="20" s="1"/>
  <c r="R70" i="20" l="1"/>
  <c r="U11" i="20"/>
  <c r="S38" i="20" l="1"/>
  <c r="T38" i="20" s="1"/>
  <c r="S25" i="20"/>
  <c r="T25" i="20" s="1"/>
  <c r="S13" i="20"/>
  <c r="T13" i="20" s="1"/>
  <c r="S21" i="20"/>
  <c r="T21" i="20" s="1"/>
  <c r="S18" i="20"/>
  <c r="T18" i="20" s="1"/>
  <c r="S42" i="20" l="1"/>
  <c r="T42" i="20" s="1"/>
  <c r="S28" i="20"/>
  <c r="T28" i="20" s="1"/>
  <c r="S12" i="20" l="1"/>
  <c r="D71" i="20"/>
  <c r="S71" i="20" s="1"/>
  <c r="T71" i="20" s="1"/>
  <c r="T12" i="20" l="1"/>
  <c r="S11" i="20"/>
  <c r="T11" i="20" s="1"/>
  <c r="F71" i="20"/>
  <c r="P71" i="20" l="1"/>
  <c r="R71" i="20"/>
  <c r="Y8" i="20"/>
  <c r="X7" i="20"/>
  <c r="Z8" i="20" s="1"/>
  <c r="Z12" i="20" l="1"/>
  <c r="Z9" i="20"/>
</calcChain>
</file>

<file path=xl/sharedStrings.xml><?xml version="1.0" encoding="utf-8"?>
<sst xmlns="http://schemas.openxmlformats.org/spreadsheetml/2006/main" count="180" uniqueCount="130">
  <si>
    <t>NO</t>
  </si>
  <si>
    <t>PROGRAM/KEGIATAN</t>
  </si>
  <si>
    <t>NAMA PENANGGUNG JAWAB MASING - MASING KEGIATAN (PPK/PPTK)</t>
  </si>
  <si>
    <t>JUMLAH ANGGARAN</t>
  </si>
  <si>
    <t>SELISIH</t>
  </si>
  <si>
    <t>TOTAL SISA ANGGARAN</t>
  </si>
  <si>
    <t>PERMASALAHAN / KENDALA</t>
  </si>
  <si>
    <t>(Rp.)</t>
  </si>
  <si>
    <t>(%)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</si>
  <si>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</si>
  <si>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</si>
  <si>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</si>
  <si>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</si>
  <si>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</si>
  <si>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</si>
  <si>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</si>
  <si>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</si>
  <si>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</si>
  <si>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</si>
  <si>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</si>
  <si>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</si>
  <si>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(6/5*100)</t>
  </si>
  <si>
    <t>(5 - 6)</t>
  </si>
  <si>
    <t>(8/5*100)</t>
  </si>
  <si>
    <t>(4 - 6)</t>
  </si>
  <si>
    <t>(10/4*100)</t>
  </si>
  <si>
    <t>01</t>
  </si>
  <si>
    <t>02</t>
  </si>
  <si>
    <t>5.2</t>
  </si>
  <si>
    <t>TOTAL BELANJA LANGSUNG</t>
  </si>
  <si>
    <t>TOTAL BELANJA</t>
  </si>
  <si>
    <t>10</t>
  </si>
  <si>
    <t>12</t>
  </si>
  <si>
    <t>15</t>
  </si>
  <si>
    <t>18</t>
  </si>
  <si>
    <t>06</t>
  </si>
  <si>
    <t>Penyediaan Jasa Surat Menyurat</t>
  </si>
  <si>
    <t>03</t>
  </si>
  <si>
    <t>07</t>
  </si>
  <si>
    <t>08</t>
  </si>
  <si>
    <t>09</t>
  </si>
  <si>
    <t>16</t>
  </si>
  <si>
    <t>19</t>
  </si>
  <si>
    <t>22</t>
  </si>
  <si>
    <t>20</t>
  </si>
  <si>
    <t>24</t>
  </si>
  <si>
    <t>PROGRAM PENUNJANG URUSAN PEMERINTAHAN DAERAH KABUPATEN/KOTA</t>
  </si>
  <si>
    <t>PERENCANAAN, PENGANGGARAN DAN EVALUASI KINERJA PERANGKAT DAERAH</t>
  </si>
  <si>
    <t>Penyusunan Dokumen Perencanaan Perangkat Daerah</t>
  </si>
  <si>
    <t>Evaluasi Kinerja Perangkat Daerah</t>
  </si>
  <si>
    <t>Koordinasi Dan Penyususunan Dokumen Rka-Skpd</t>
  </si>
  <si>
    <t>Koordinasi Dan Penyusunan Dpa-Skpd</t>
  </si>
  <si>
    <t>ADMINISTRASI KEUANGAN PERANGKAT DAERAH</t>
  </si>
  <si>
    <t>Koordinasi Dan Penyusunan Laporan Keuangan Bulanan</t>
  </si>
  <si>
    <t>ADMINISTRASI KEPEGAWAIAN PERANGKAT DAERAH</t>
  </si>
  <si>
    <t>ADMINISTRASI BARANG MILIK DAERAH PADA PERANGKAT DAERAH</t>
  </si>
  <si>
    <t>ADMINISTRASI PENDAPATAN DAERAH KEWENANGAN PERANGKAT DAERAH</t>
  </si>
  <si>
    <t>Penatausahaan Barang Milik Daerah Pada Skpd</t>
  </si>
  <si>
    <t>ADMINISTRASI UMUM PERANGKAT DAERAH</t>
  </si>
  <si>
    <t>PENYEDIAAN JASA PENUNJANG URUSAN PEMERINTAHAN DAERAH</t>
  </si>
  <si>
    <t>PROGRAM PENYELENGGARAAN PEMERINTAHAN DAN PELAYANAN PUBLIK</t>
  </si>
  <si>
    <t>PELAKSANAAN URUSAN PEMERINTAHAN YANG DILIMPAHKAN KEPADA CAMAT</t>
  </si>
  <si>
    <t>PROGRAM PEMBERDAYAAN MASYARAKAT DESA DAN KELURAHAN</t>
  </si>
  <si>
    <t>KOORDINASI KEGIATAN PEMBERDAYAAN DESA</t>
  </si>
  <si>
    <t>KEGIATAN PEMBERDAYAAN KELURAHAN</t>
  </si>
  <si>
    <t>PROGRAM PENYELENGGARAAN URUSAN PEMERINTAHAN UMUM</t>
  </si>
  <si>
    <t>PENYELENGGARAAN URUSAN PEMERINTAHAN UMUM SESUAI PENUGASAN KEPALA DAERAH</t>
  </si>
  <si>
    <t>PROGRAM PEMBINAAN DAN PENGAWASAN PEMERINTAHAN DESA</t>
  </si>
  <si>
    <t>FASILITASI REKOMENDASI DAN KOORDINASI PEBINAAN DAN PENGAWASAN PEMERINTAHAN DESA</t>
  </si>
  <si>
    <t xml:space="preserve">
Pelaporan Pengelolaan Retribusi Daerah
</t>
  </si>
  <si>
    <t>Pendataan Dan Pengelolahan Administrasi Kepegawaian</t>
  </si>
  <si>
    <t>Bimbingan Teknis Implementasi Peraturan Perundang-Undangan</t>
  </si>
  <si>
    <t>Penyediaan Kompenen Instalasi Listrik/Penerangan Bangunan Kantor</t>
  </si>
  <si>
    <t>Penyediaan Bahan Logistik Kantor</t>
  </si>
  <si>
    <t>Penyediaan Barang Cetakan Dan Penggandaan</t>
  </si>
  <si>
    <t>Penyediaan Bahan Bacaan Peraturan Perundang-Undangan</t>
  </si>
  <si>
    <t>Fasilitasi Kunjungan Tamu</t>
  </si>
  <si>
    <t>Penyelenggaraan Rapat Koordinasi Dan Konsultasi Skpd</t>
  </si>
  <si>
    <t>Penyediaan Jasa Komunikasi Sumber Daya Air Dan Listrik</t>
  </si>
  <si>
    <t>Pemeliharaan Peralatan Dan Mesin Lainnya</t>
  </si>
  <si>
    <t xml:space="preserve">Pemeliharaan/Rehabilitasi Gedung Kantor Dan Bangunan Lainnya </t>
  </si>
  <si>
    <t>Peningkatan Partisipasi Masyarakat Dalam Forum Musyawarah Perencanaan Pembangunan Di Desa</t>
  </si>
  <si>
    <t>Peningkatan Efektifitas Kegiatan Pemberdayaan Masyarakat Di Wilayah Kecamatan</t>
  </si>
  <si>
    <t>Pemberdayaan Masyarakat Di Kelurahan</t>
  </si>
  <si>
    <t>Pelaksanaan Tugas Forum Koordinasi Pimpinan Di Kecamatan</t>
  </si>
  <si>
    <t>Penyediaan Jasa Pelayanan Umum Kantor</t>
  </si>
  <si>
    <t>HUSNI ANDI NASIR</t>
  </si>
  <si>
    <t>RACHMAWATY</t>
  </si>
  <si>
    <t>IRA PUSPA</t>
  </si>
  <si>
    <t>ERINA ASRIAH</t>
  </si>
  <si>
    <t>FATIMAH</t>
  </si>
  <si>
    <r>
      <t xml:space="preserve">TARGET s/d TRIWULAN I </t>
    </r>
    <r>
      <rPr>
        <b/>
        <i/>
        <sz val="8"/>
        <rFont val="Arial Narrow"/>
        <family val="2"/>
      </rPr>
      <t>(BERDASARKAN ANGGARAN KAS)</t>
    </r>
  </si>
  <si>
    <t>Penyediaan Gaji Dan Tunjangan ASN</t>
  </si>
  <si>
    <t xml:space="preserve">Pangkat: Pembina </t>
  </si>
  <si>
    <t>Camat Nuha,</t>
  </si>
  <si>
    <t>KANTOR KECAMATAN NUHA KABUPATEN LUWU TIMUR</t>
  </si>
  <si>
    <t>KECAMATAN</t>
  </si>
  <si>
    <t>Penyediaan Peralatan Dan Perlengkapan Kantor</t>
  </si>
  <si>
    <t>04</t>
  </si>
  <si>
    <t>Penyediaan Jasa Pemeliharaan, Biaya Pemeliharaan dan pajak kendaraan perorangan dinas atau kendaraan dinas jabatan</t>
  </si>
  <si>
    <t>PROGRAM KOORDINASI KETENTRAMAN DAN KETERTIBAN UMUM</t>
  </si>
  <si>
    <t>Sinergitas dengan kepolisian negara republik indonesia, Tentara Nasional Indinesia dan Instansi Vertikal di wilayah Kecamatan</t>
  </si>
  <si>
    <t>Harmonisasi hubungan dengan tokoh agama dan tokoh masyarakat</t>
  </si>
  <si>
    <t>Koordinasi pelaksanaan pembangunan kawasan perdesaan di wilayah kecamatan</t>
  </si>
  <si>
    <t>Koordinasi Upaya Penyelenggaraan Ketentraman dan Ketertiban Umum</t>
  </si>
  <si>
    <t>Koordinasi Penerapan dan Penegakkan Peraturan Daerah dan Peraturan Kepala Daerah</t>
  </si>
  <si>
    <t>Koordinasi/Sinergi dengan perangkat daerah yang tugas dan fungsinya di bidang penegakkan peraturan perundang - undangan dan/atau kepolisian Negara Republik Indonesia</t>
  </si>
  <si>
    <r>
      <t xml:space="preserve">TARGET s/d TRIWULAN II </t>
    </r>
    <r>
      <rPr>
        <b/>
        <i/>
        <sz val="8"/>
        <rFont val="Arial Narrow"/>
        <family val="2"/>
      </rPr>
      <t>(BERDASARKAN ANGGARAN KAS)</t>
    </r>
  </si>
  <si>
    <t>Pelaksanaan Urusan Pemerintah yang terkait dengan Pelayanan Perizinan Non Usaha</t>
  </si>
  <si>
    <t xml:space="preserve">Pemeliharaan/Rehabilitasi Sarana Prasarana  Gedung Kantor Dan Bangunan Lainnya </t>
  </si>
  <si>
    <t>HARIYADI HAMID,S.STP</t>
  </si>
  <si>
    <t>NIP : 19850710 200602 1 002</t>
  </si>
  <si>
    <t>PENGADAAN BARANG MILIK DAERAH PENUNJANG URUSUSAN PEMERINTAH DAERAH</t>
  </si>
  <si>
    <t>Pengadaan  Peralatan dan Mesin Lainnya</t>
  </si>
  <si>
    <t>Pembangunan Sarana dan Prasarana kelurahan</t>
  </si>
  <si>
    <t>LAPORAN REALISASI ANGGARAN T.A 2024</t>
  </si>
  <si>
    <t>LINA BATE BANDERA</t>
  </si>
  <si>
    <r>
      <t xml:space="preserve">TARGET s/d TRIWULAN III </t>
    </r>
    <r>
      <rPr>
        <b/>
        <i/>
        <sz val="8"/>
        <rFont val="Arial Narrow"/>
        <family val="2"/>
      </rPr>
      <t>(BERDASARKAN ANGGARAN KAS)</t>
    </r>
  </si>
  <si>
    <t>Fasilitasi Penyusunan Peraturan Desa Dan Peraturan Kepala Desa</t>
  </si>
  <si>
    <t>REALISASI ANGGARAN  TW III                  Per 30 SEPTEMBER 2024</t>
  </si>
  <si>
    <t>REALISASI ANGGARAN  TW II                  Per 30 JUNI 2024</t>
  </si>
  <si>
    <t>REALISASI ANGGARAN TW I                   Per 31 MARET  2024</t>
  </si>
  <si>
    <t>JUMLAH ANGGARAN PERUBAHAN</t>
  </si>
  <si>
    <r>
      <t xml:space="preserve">TARGET s/d TRIWULAN IV </t>
    </r>
    <r>
      <rPr>
        <b/>
        <i/>
        <sz val="8"/>
        <rFont val="Arial Narrow"/>
        <family val="2"/>
      </rPr>
      <t>(BERDASARKAN ANGGARAN KAS)</t>
    </r>
  </si>
  <si>
    <t>PEMELIHARAAN BARANG MILIK DAERAH PENUNJANG URUSAN PEMERINTAHAN DAERAH</t>
  </si>
  <si>
    <t>REALISASI ANGGARAN  TW IV                  Per 31 Desember 2024</t>
  </si>
  <si>
    <t>REALISASI ANGGARAN BLN  JAN S.D 31 Desember 2024</t>
  </si>
  <si>
    <t>SAMPAI DENGAN 31 DESEMBER  2024</t>
  </si>
  <si>
    <t>Sorowako, 31 Desember 2024</t>
  </si>
  <si>
    <t>KAMIL RASYID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</si>
</sst>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4" formatCode="_(&quot;Rp&quot;* #,##0.00_);_(&quot;Rp&quot;* \(#,##0.00\);_(&quot;Rp&quot;* &quot;-&quot;??_);_(@_)"/>
    <numFmt numFmtId="43" formatCode="_(* #,##0.00_);_(* \(#,##0.00\);_(* &quot;-&quot;??_);_(@_)"/>
    <numFmt numFmtId="166" formatCode="_-* #,##0.00_-;\-* #,##0.00_-;_-* &quot;-&quot;??_-;_-@_-"/>
    <numFmt numFmtId="168" formatCode="_-* #,##0_-;\-* #,##0_-;_-* &quot;-&quot;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4"/>
      <color theme="1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sz val="8"/>
      <color theme="1"/>
      <name val="Arial Narrow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00000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rgb="FF000000"/>
      <name val="Calibri"/>
      <family val="2"/>
    </font>
    <font>
      <sz val="8"/>
      <name val="Arial Narrow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.5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0.5"/>
      <color theme="1"/>
      <name val="Arial Narrow"/>
      <family val="2"/>
    </font>
    <font>
      <sz val="11"/>
      <color theme="0"/>
      <name val="Calibri"/>
      <family val="2"/>
      <scheme val="minor"/>
    </font>
    <font>
      <b/>
      <u/>
      <sz val="10"/>
      <color theme="1"/>
      <name val="Arial"/>
      <family val="2"/>
    </font>
    <font>
      <b/>
      <sz val="11"/>
      <color theme="1"/>
      <name val="Arial Narrow"/>
      <family val="2"/>
    </font>
    <font>
      <sz val="10"/>
      <color theme="0"/>
      <name val="Arial Narrow"/>
      <family val="2"/>
    </font>
    <font>
      <sz val="8"/>
      <color theme="0"/>
      <name val="Arial Narrow"/>
      <family val="2"/>
    </font>
    <font>
      <sz val="8"/>
      <color theme="0"/>
      <name val="Calibri"/>
      <family val="2"/>
      <scheme val="minor"/>
    </font>
    <font>
      <b/>
      <sz val="14"/>
      <color theme="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99FF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04">
    <xf numFmtId="0" fontId="0" fillId="0" borderId="0"/>
    <xf numFmtId="0" fontId="3" fillId="0" borderId="0">
      <alignment vertical="top"/>
    </xf>
    <xf numFmtId="0" fontId="1" fillId="0" borderId="0"/>
    <xf numFmtId="0" fontId="1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2" fillId="0" borderId="0"/>
    <xf numFmtId="0" fontId="1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" fillId="0" borderId="0"/>
    <xf numFmtId="0" fontId="12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15" fillId="5" borderId="0">
      <alignment horizontal="left" vertical="top"/>
    </xf>
    <xf numFmtId="0" fontId="15" fillId="5" borderId="0">
      <alignment horizontal="right" vertical="top"/>
    </xf>
    <xf numFmtId="0" fontId="16" fillId="5" borderId="0">
      <alignment horizontal="left" vertical="top"/>
    </xf>
    <xf numFmtId="0" fontId="17" fillId="5" borderId="0">
      <alignment horizontal="left" vertical="top"/>
    </xf>
    <xf numFmtId="0" fontId="17" fillId="5" borderId="0">
      <alignment horizontal="right" vertical="top"/>
    </xf>
    <xf numFmtId="0" fontId="16" fillId="5" borderId="0">
      <alignment horizontal="right" vertical="top"/>
    </xf>
    <xf numFmtId="0" fontId="16" fillId="5" borderId="0">
      <alignment horizontal="right" vertical="top"/>
    </xf>
    <xf numFmtId="0" fontId="15" fillId="5" borderId="0">
      <alignment horizontal="left" vertical="top"/>
    </xf>
    <xf numFmtId="43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20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</cellStyleXfs>
  <cellXfs count="246">
    <xf numFmtId="0" fontId="0" fillId="0" borderId="0" xfId="0"/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0" fillId="2" borderId="0" xfId="0" applyFill="1"/>
    <xf numFmtId="49" fontId="5" fillId="2" borderId="8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2" borderId="8" xfId="0" applyFont="1" applyFill="1" applyBorder="1" applyAlignment="1">
      <alignment horizontal="left" vertical="center" wrapText="1"/>
    </xf>
    <xf numFmtId="41" fontId="9" fillId="2" borderId="8" xfId="0" applyNumberFormat="1" applyFont="1" applyFill="1" applyBorder="1" applyAlignment="1">
      <alignment horizontal="right" vertical="center"/>
    </xf>
    <xf numFmtId="2" fontId="9" fillId="2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41" fontId="0" fillId="0" borderId="0" xfId="0" applyNumberFormat="1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2" applyFont="1"/>
    <xf numFmtId="0" fontId="19" fillId="2" borderId="3" xfId="2" applyFont="1" applyFill="1" applyBorder="1" applyAlignment="1">
      <alignment horizontal="left" vertical="center" wrapText="1"/>
    </xf>
    <xf numFmtId="0" fontId="19" fillId="0" borderId="3" xfId="2" applyFont="1" applyBorder="1" applyAlignment="1">
      <alignment horizontal="left" vertical="center" wrapText="1"/>
    </xf>
    <xf numFmtId="41" fontId="19" fillId="2" borderId="0" xfId="2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left" vertical="center" wrapText="1"/>
    </xf>
    <xf numFmtId="41" fontId="19" fillId="2" borderId="8" xfId="2" applyNumberFormat="1" applyFont="1" applyFill="1" applyBorder="1" applyAlignment="1">
      <alignment horizontal="right" vertical="center"/>
    </xf>
    <xf numFmtId="41" fontId="19" fillId="0" borderId="8" xfId="2" applyNumberFormat="1" applyFont="1" applyBorder="1" applyAlignment="1">
      <alignment horizontal="right" vertical="center"/>
    </xf>
    <xf numFmtId="0" fontId="19" fillId="2" borderId="1" xfId="2" applyFont="1" applyFill="1" applyBorder="1" applyAlignment="1">
      <alignment horizontal="left" vertical="center" wrapText="1"/>
    </xf>
    <xf numFmtId="0" fontId="9" fillId="2" borderId="18" xfId="0" applyFont="1" applyFill="1" applyBorder="1"/>
    <xf numFmtId="0" fontId="7" fillId="2" borderId="14" xfId="0" applyFont="1" applyFill="1" applyBorder="1" applyAlignment="1">
      <alignment horizontal="center" vertical="center" wrapText="1"/>
    </xf>
    <xf numFmtId="41" fontId="9" fillId="2" borderId="3" xfId="0" applyNumberFormat="1" applyFont="1" applyFill="1" applyBorder="1" applyAlignment="1">
      <alignment horizontal="right" vertical="center"/>
    </xf>
    <xf numFmtId="41" fontId="19" fillId="2" borderId="3" xfId="2" applyNumberFormat="1" applyFont="1" applyFill="1" applyBorder="1" applyAlignment="1">
      <alignment horizontal="right" vertical="center"/>
    </xf>
    <xf numFmtId="41" fontId="19" fillId="0" borderId="3" xfId="2" applyNumberFormat="1" applyFont="1" applyBorder="1" applyAlignment="1">
      <alignment horizontal="right" vertical="center"/>
    </xf>
    <xf numFmtId="41" fontId="19" fillId="2" borderId="1" xfId="2" applyNumberFormat="1" applyFont="1" applyFill="1" applyBorder="1" applyAlignment="1">
      <alignment horizontal="right" vertical="center"/>
    </xf>
    <xf numFmtId="0" fontId="5" fillId="2" borderId="17" xfId="0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center" vertical="center"/>
    </xf>
    <xf numFmtId="49" fontId="19" fillId="2" borderId="17" xfId="2" applyNumberFormat="1" applyFont="1" applyFill="1" applyBorder="1" applyAlignment="1">
      <alignment horizontal="center" vertical="center"/>
    </xf>
    <xf numFmtId="49" fontId="19" fillId="0" borderId="17" xfId="2" applyNumberFormat="1" applyFont="1" applyBorder="1" applyAlignment="1">
      <alignment horizontal="center" vertical="top"/>
    </xf>
    <xf numFmtId="49" fontId="19" fillId="0" borderId="17" xfId="2" applyNumberFormat="1" applyFont="1" applyBorder="1" applyAlignment="1">
      <alignment horizontal="center" vertical="center"/>
    </xf>
    <xf numFmtId="49" fontId="19" fillId="0" borderId="30" xfId="2" applyNumberFormat="1" applyFont="1" applyBorder="1" applyAlignment="1">
      <alignment horizontal="center" vertical="top"/>
    </xf>
    <xf numFmtId="0" fontId="19" fillId="0" borderId="31" xfId="2" applyFont="1" applyBorder="1" applyAlignment="1">
      <alignment horizontal="left" vertical="center" wrapText="1"/>
    </xf>
    <xf numFmtId="0" fontId="19" fillId="0" borderId="18" xfId="2" applyFont="1" applyBorder="1" applyAlignment="1">
      <alignment horizontal="left" vertical="center" wrapText="1"/>
    </xf>
    <xf numFmtId="0" fontId="9" fillId="2" borderId="31" xfId="0" applyFont="1" applyFill="1" applyBorder="1"/>
    <xf numFmtId="49" fontId="5" fillId="4" borderId="32" xfId="0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49" fontId="5" fillId="4" borderId="29" xfId="0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2" fontId="18" fillId="2" borderId="8" xfId="0" applyNumberFormat="1" applyFont="1" applyFill="1" applyBorder="1" applyAlignment="1">
      <alignment horizontal="center" vertical="center"/>
    </xf>
    <xf numFmtId="2" fontId="19" fillId="2" borderId="8" xfId="0" applyNumberFormat="1" applyFont="1" applyFill="1" applyBorder="1" applyAlignment="1">
      <alignment horizontal="center" vertical="center"/>
    </xf>
    <xf numFmtId="41" fontId="18" fillId="2" borderId="3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41" fontId="18" fillId="2" borderId="1" xfId="2" applyNumberFormat="1" applyFont="1" applyFill="1" applyBorder="1" applyAlignment="1">
      <alignment horizontal="right" vertical="center"/>
    </xf>
    <xf numFmtId="0" fontId="0" fillId="0" borderId="24" xfId="0" applyBorder="1" applyAlignment="1">
      <alignment horizontal="center"/>
    </xf>
    <xf numFmtId="2" fontId="0" fillId="0" borderId="24" xfId="0" applyNumberFormat="1" applyBorder="1" applyAlignment="1">
      <alignment horizontal="center" vertical="center"/>
    </xf>
    <xf numFmtId="0" fontId="0" fillId="0" borderId="24" xfId="0" applyBorder="1"/>
    <xf numFmtId="2" fontId="0" fillId="0" borderId="24" xfId="0" applyNumberFormat="1" applyBorder="1" applyAlignment="1">
      <alignment horizontal="center"/>
    </xf>
    <xf numFmtId="0" fontId="18" fillId="2" borderId="3" xfId="2" applyFont="1" applyFill="1" applyBorder="1" applyAlignment="1">
      <alignment vertical="center" wrapText="1"/>
    </xf>
    <xf numFmtId="41" fontId="18" fillId="2" borderId="3" xfId="2" applyNumberFormat="1" applyFont="1" applyFill="1" applyBorder="1" applyAlignment="1">
      <alignment horizontal="right" vertical="center"/>
    </xf>
    <xf numFmtId="0" fontId="9" fillId="2" borderId="18" xfId="0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 wrapText="1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41" fontId="18" fillId="2" borderId="3" xfId="0" applyNumberFormat="1" applyFont="1" applyFill="1" applyBorder="1" applyAlignment="1">
      <alignment horizontal="left" vertical="center" wrapText="1"/>
    </xf>
    <xf numFmtId="41" fontId="9" fillId="2" borderId="18" xfId="0" applyNumberFormat="1" applyFont="1" applyFill="1" applyBorder="1"/>
    <xf numFmtId="0" fontId="9" fillId="0" borderId="18" xfId="2" applyFont="1" applyBorder="1" applyAlignment="1">
      <alignment horizontal="left" vertical="center" wrapText="1"/>
    </xf>
    <xf numFmtId="0" fontId="21" fillId="2" borderId="18" xfId="0" applyFont="1" applyFill="1" applyBorder="1" applyAlignment="1">
      <alignment vertical="center"/>
    </xf>
    <xf numFmtId="43" fontId="0" fillId="0" borderId="0" xfId="0" applyNumberFormat="1"/>
    <xf numFmtId="0" fontId="18" fillId="0" borderId="3" xfId="2" applyFont="1" applyBorder="1" applyAlignment="1">
      <alignment horizontal="left" vertical="center" wrapText="1"/>
    </xf>
    <xf numFmtId="0" fontId="19" fillId="2" borderId="3" xfId="2" applyFont="1" applyFill="1" applyBorder="1" applyAlignment="1">
      <alignment vertical="center" wrapText="1"/>
    </xf>
    <xf numFmtId="0" fontId="18" fillId="2" borderId="1" xfId="2" applyFont="1" applyFill="1" applyBorder="1" applyAlignment="1">
      <alignment horizontal="left" vertical="center" wrapText="1"/>
    </xf>
    <xf numFmtId="0" fontId="18" fillId="2" borderId="3" xfId="2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center" vertical="center"/>
    </xf>
    <xf numFmtId="0" fontId="18" fillId="2" borderId="1" xfId="2" applyFont="1" applyFill="1" applyBorder="1" applyAlignment="1">
      <alignment vertical="center" wrapText="1"/>
    </xf>
    <xf numFmtId="0" fontId="19" fillId="2" borderId="1" xfId="2" applyFont="1" applyFill="1" applyBorder="1" applyAlignment="1">
      <alignment vertical="center" wrapText="1"/>
    </xf>
    <xf numFmtId="0" fontId="9" fillId="2" borderId="1" xfId="2" applyFont="1" applyFill="1" applyBorder="1" applyAlignment="1">
      <alignment vertical="center" wrapText="1"/>
    </xf>
    <xf numFmtId="41" fontId="18" fillId="0" borderId="3" xfId="2" applyNumberFormat="1" applyFont="1" applyBorder="1" applyAlignment="1">
      <alignment horizontal="right" vertical="center"/>
    </xf>
    <xf numFmtId="0" fontId="27" fillId="2" borderId="1" xfId="2" applyFont="1" applyFill="1" applyBorder="1" applyAlignment="1">
      <alignment vertical="center" wrapText="1"/>
    </xf>
    <xf numFmtId="0" fontId="27" fillId="2" borderId="1" xfId="2" applyFont="1" applyFill="1" applyBorder="1" applyAlignment="1">
      <alignment horizontal="left" vertical="center" wrapText="1"/>
    </xf>
    <xf numFmtId="0" fontId="27" fillId="2" borderId="8" xfId="0" applyFont="1" applyFill="1" applyBorder="1" applyAlignment="1">
      <alignment horizontal="left" vertical="center" wrapText="1"/>
    </xf>
    <xf numFmtId="2" fontId="0" fillId="0" borderId="0" xfId="0" applyNumberFormat="1"/>
    <xf numFmtId="0" fontId="29" fillId="2" borderId="17" xfId="0" quotePrefix="1" applyFont="1" applyFill="1" applyBorder="1" applyAlignment="1">
      <alignment horizontal="center" vertical="center"/>
    </xf>
    <xf numFmtId="0" fontId="29" fillId="2" borderId="30" xfId="0" quotePrefix="1" applyFont="1" applyFill="1" applyBorder="1" applyAlignment="1">
      <alignment horizontal="center" vertical="center"/>
    </xf>
    <xf numFmtId="0" fontId="29" fillId="2" borderId="1" xfId="2" applyFont="1" applyFill="1" applyBorder="1" applyAlignment="1">
      <alignment vertical="center" wrapText="1"/>
    </xf>
    <xf numFmtId="0" fontId="31" fillId="2" borderId="1" xfId="2" applyFont="1" applyFill="1" applyBorder="1" applyAlignment="1">
      <alignment vertical="center" wrapText="1"/>
    </xf>
    <xf numFmtId="0" fontId="9" fillId="2" borderId="27" xfId="0" applyFont="1" applyFill="1" applyBorder="1" applyAlignment="1">
      <alignment horizontal="center" vertical="center"/>
    </xf>
    <xf numFmtId="0" fontId="19" fillId="2" borderId="36" xfId="2" applyFont="1" applyFill="1" applyBorder="1" applyAlignment="1">
      <alignment horizontal="left" vertical="center" wrapText="1"/>
    </xf>
    <xf numFmtId="0" fontId="32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5" fillId="6" borderId="8" xfId="0" applyNumberFormat="1" applyFont="1" applyFill="1" applyBorder="1" applyAlignment="1">
      <alignment horizontal="center" vertical="center" wrapText="1"/>
    </xf>
    <xf numFmtId="41" fontId="9" fillId="6" borderId="8" xfId="0" applyNumberFormat="1" applyFont="1" applyFill="1" applyBorder="1"/>
    <xf numFmtId="41" fontId="18" fillId="6" borderId="3" xfId="0" applyNumberFormat="1" applyFont="1" applyFill="1" applyBorder="1" applyAlignment="1">
      <alignment horizontal="right" vertical="center"/>
    </xf>
    <xf numFmtId="41" fontId="19" fillId="6" borderId="8" xfId="2" applyNumberFormat="1" applyFont="1" applyFill="1" applyBorder="1" applyAlignment="1">
      <alignment horizontal="right" vertical="center"/>
    </xf>
    <xf numFmtId="41" fontId="18" fillId="6" borderId="3" xfId="2" applyNumberFormat="1" applyFont="1" applyFill="1" applyBorder="1" applyAlignment="1">
      <alignment horizontal="right" vertical="center"/>
    </xf>
    <xf numFmtId="41" fontId="18" fillId="6" borderId="1" xfId="2" applyNumberFormat="1" applyFont="1" applyFill="1" applyBorder="1" applyAlignment="1">
      <alignment horizontal="right" vertical="center"/>
    </xf>
    <xf numFmtId="41" fontId="13" fillId="6" borderId="2" xfId="2" applyNumberFormat="1" applyFont="1" applyFill="1" applyBorder="1" applyAlignment="1">
      <alignment horizontal="right" vertical="center"/>
    </xf>
    <xf numFmtId="41" fontId="19" fillId="6" borderId="2" xfId="2" applyNumberFormat="1" applyFont="1" applyFill="1" applyBorder="1" applyAlignment="1">
      <alignment horizontal="right" vertical="center"/>
    </xf>
    <xf numFmtId="49" fontId="5" fillId="7" borderId="8" xfId="0" applyNumberFormat="1" applyFont="1" applyFill="1" applyBorder="1" applyAlignment="1">
      <alignment horizontal="center" vertical="center" wrapText="1"/>
    </xf>
    <xf numFmtId="41" fontId="9" fillId="7" borderId="8" xfId="0" applyNumberFormat="1" applyFont="1" applyFill="1" applyBorder="1" applyAlignment="1">
      <alignment horizontal="right" vertical="center"/>
    </xf>
    <xf numFmtId="41" fontId="18" fillId="7" borderId="3" xfId="0" applyNumberFormat="1" applyFont="1" applyFill="1" applyBorder="1" applyAlignment="1">
      <alignment horizontal="right" vertical="center"/>
    </xf>
    <xf numFmtId="41" fontId="19" fillId="7" borderId="3" xfId="2" applyNumberFormat="1" applyFont="1" applyFill="1" applyBorder="1" applyAlignment="1">
      <alignment horizontal="right" vertical="center"/>
    </xf>
    <xf numFmtId="41" fontId="18" fillId="7" borderId="3" xfId="2" applyNumberFormat="1" applyFont="1" applyFill="1" applyBorder="1" applyAlignment="1">
      <alignment horizontal="right" vertical="center"/>
    </xf>
    <xf numFmtId="41" fontId="19" fillId="7" borderId="8" xfId="2" applyNumberFormat="1" applyFont="1" applyFill="1" applyBorder="1" applyAlignment="1">
      <alignment horizontal="right" vertical="center"/>
    </xf>
    <xf numFmtId="41" fontId="18" fillId="7" borderId="1" xfId="2" applyNumberFormat="1" applyFont="1" applyFill="1" applyBorder="1" applyAlignment="1">
      <alignment horizontal="right" vertical="center"/>
    </xf>
    <xf numFmtId="41" fontId="19" fillId="7" borderId="1" xfId="2" applyNumberFormat="1" applyFont="1" applyFill="1" applyBorder="1" applyAlignment="1">
      <alignment horizontal="right" vertical="center"/>
    </xf>
    <xf numFmtId="41" fontId="18" fillId="7" borderId="8" xfId="2" applyNumberFormat="1" applyFont="1" applyFill="1" applyBorder="1" applyAlignment="1">
      <alignment horizontal="right" vertical="center"/>
    </xf>
    <xf numFmtId="0" fontId="19" fillId="0" borderId="1" xfId="2" applyFont="1" applyBorder="1" applyAlignment="1">
      <alignment horizontal="left" vertical="center" wrapText="1"/>
    </xf>
    <xf numFmtId="41" fontId="19" fillId="0" borderId="1" xfId="2" applyNumberFormat="1" applyFont="1" applyBorder="1" applyAlignment="1">
      <alignment horizontal="right" vertical="center"/>
    </xf>
    <xf numFmtId="41" fontId="19" fillId="6" borderId="1" xfId="2" applyNumberFormat="1" applyFont="1" applyFill="1" applyBorder="1" applyAlignment="1">
      <alignment horizontal="right" vertical="center"/>
    </xf>
    <xf numFmtId="0" fontId="9" fillId="2" borderId="3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7" fillId="2" borderId="3" xfId="0" applyFont="1" applyFill="1" applyBorder="1" applyAlignment="1">
      <alignment horizontal="left" vertical="center" wrapText="1"/>
    </xf>
    <xf numFmtId="41" fontId="18" fillId="0" borderId="1" xfId="2" applyNumberFormat="1" applyFont="1" applyBorder="1" applyAlignment="1">
      <alignment horizontal="right" vertical="center"/>
    </xf>
    <xf numFmtId="2" fontId="9" fillId="2" borderId="31" xfId="0" applyNumberFormat="1" applyFont="1" applyFill="1" applyBorder="1"/>
    <xf numFmtId="2" fontId="19" fillId="0" borderId="18" xfId="2" applyNumberFormat="1" applyFont="1" applyBorder="1" applyAlignment="1">
      <alignment horizontal="left" vertical="center" wrapText="1"/>
    </xf>
    <xf numFmtId="2" fontId="9" fillId="2" borderId="18" xfId="0" applyNumberFormat="1" applyFont="1" applyFill="1" applyBorder="1" applyAlignment="1">
      <alignment vertical="center"/>
    </xf>
    <xf numFmtId="2" fontId="9" fillId="2" borderId="21" xfId="0" applyNumberFormat="1" applyFont="1" applyFill="1" applyBorder="1"/>
    <xf numFmtId="43" fontId="9" fillId="2" borderId="18" xfId="203" applyFont="1" applyFill="1" applyBorder="1"/>
    <xf numFmtId="41" fontId="18" fillId="8" borderId="3" xfId="0" applyNumberFormat="1" applyFont="1" applyFill="1" applyBorder="1" applyAlignment="1">
      <alignment horizontal="right" vertical="center"/>
    </xf>
    <xf numFmtId="41" fontId="19" fillId="8" borderId="3" xfId="2" applyNumberFormat="1" applyFont="1" applyFill="1" applyBorder="1" applyAlignment="1">
      <alignment horizontal="right" vertical="center"/>
    </xf>
    <xf numFmtId="41" fontId="18" fillId="8" borderId="3" xfId="2" applyNumberFormat="1" applyFont="1" applyFill="1" applyBorder="1" applyAlignment="1">
      <alignment horizontal="right" vertical="center"/>
    </xf>
    <xf numFmtId="41" fontId="18" fillId="8" borderId="1" xfId="2" applyNumberFormat="1" applyFont="1" applyFill="1" applyBorder="1" applyAlignment="1">
      <alignment horizontal="right" vertical="center"/>
    </xf>
    <xf numFmtId="41" fontId="30" fillId="8" borderId="3" xfId="2" applyNumberFormat="1" applyFont="1" applyFill="1" applyBorder="1" applyAlignment="1">
      <alignment horizontal="right" vertical="center"/>
    </xf>
    <xf numFmtId="41" fontId="18" fillId="6" borderId="8" xfId="2" applyNumberFormat="1" applyFont="1" applyFill="1" applyBorder="1" applyAlignment="1">
      <alignment horizontal="right" vertical="center"/>
    </xf>
    <xf numFmtId="41" fontId="18" fillId="9" borderId="3" xfId="0" applyNumberFormat="1" applyFont="1" applyFill="1" applyBorder="1" applyAlignment="1">
      <alignment horizontal="right" vertical="center"/>
    </xf>
    <xf numFmtId="41" fontId="19" fillId="9" borderId="3" xfId="0" applyNumberFormat="1" applyFont="1" applyFill="1" applyBorder="1" applyAlignment="1">
      <alignment horizontal="right" vertical="center"/>
    </xf>
    <xf numFmtId="41" fontId="18" fillId="9" borderId="3" xfId="2" applyNumberFormat="1" applyFont="1" applyFill="1" applyBorder="1" applyAlignment="1">
      <alignment horizontal="right" vertical="center"/>
    </xf>
    <xf numFmtId="41" fontId="18" fillId="9" borderId="1" xfId="2" applyNumberFormat="1" applyFont="1" applyFill="1" applyBorder="1" applyAlignment="1">
      <alignment horizontal="right" vertical="center"/>
    </xf>
    <xf numFmtId="41" fontId="18" fillId="9" borderId="8" xfId="2" applyNumberFormat="1" applyFont="1" applyFill="1" applyBorder="1" applyAlignment="1">
      <alignment horizontal="right" vertical="center"/>
    </xf>
    <xf numFmtId="49" fontId="5" fillId="9" borderId="8" xfId="0" applyNumberFormat="1" applyFont="1" applyFill="1" applyBorder="1" applyAlignment="1">
      <alignment horizontal="center" vertical="center" wrapText="1"/>
    </xf>
    <xf numFmtId="41" fontId="9" fillId="9" borderId="8" xfId="0" applyNumberFormat="1" applyFont="1" applyFill="1" applyBorder="1"/>
    <xf numFmtId="49" fontId="5" fillId="8" borderId="8" xfId="0" applyNumberFormat="1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right" vertical="center"/>
    </xf>
    <xf numFmtId="41" fontId="0" fillId="2" borderId="0" xfId="0" applyNumberFormat="1" applyFill="1"/>
    <xf numFmtId="49" fontId="5" fillId="10" borderId="8" xfId="0" applyNumberFormat="1" applyFont="1" applyFill="1" applyBorder="1" applyAlignment="1">
      <alignment horizontal="center" vertical="center" wrapText="1"/>
    </xf>
    <xf numFmtId="41" fontId="9" fillId="10" borderId="8" xfId="0" applyNumberFormat="1" applyFont="1" applyFill="1" applyBorder="1" applyAlignment="1">
      <alignment horizontal="right" vertical="center"/>
    </xf>
    <xf numFmtId="41" fontId="18" fillId="10" borderId="3" xfId="0" applyNumberFormat="1" applyFont="1" applyFill="1" applyBorder="1" applyAlignment="1">
      <alignment horizontal="right" vertical="center"/>
    </xf>
    <xf numFmtId="41" fontId="19" fillId="10" borderId="3" xfId="2" applyNumberFormat="1" applyFont="1" applyFill="1" applyBorder="1" applyAlignment="1">
      <alignment horizontal="right" vertical="center"/>
    </xf>
    <xf numFmtId="41" fontId="18" fillId="10" borderId="3" xfId="2" applyNumberFormat="1" applyFont="1" applyFill="1" applyBorder="1" applyAlignment="1">
      <alignment horizontal="right" vertical="center"/>
    </xf>
    <xf numFmtId="41" fontId="19" fillId="10" borderId="8" xfId="2" applyNumberFormat="1" applyFont="1" applyFill="1" applyBorder="1" applyAlignment="1">
      <alignment horizontal="right" vertical="center"/>
    </xf>
    <xf numFmtId="41" fontId="18" fillId="10" borderId="1" xfId="2" applyNumberFormat="1" applyFont="1" applyFill="1" applyBorder="1" applyAlignment="1">
      <alignment horizontal="right" vertical="center"/>
    </xf>
    <xf numFmtId="41" fontId="19" fillId="10" borderId="1" xfId="2" applyNumberFormat="1" applyFont="1" applyFill="1" applyBorder="1" applyAlignment="1">
      <alignment horizontal="right" vertical="center"/>
    </xf>
    <xf numFmtId="41" fontId="18" fillId="10" borderId="8" xfId="2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49" fontId="5" fillId="11" borderId="8" xfId="0" applyNumberFormat="1" applyFont="1" applyFill="1" applyBorder="1" applyAlignment="1">
      <alignment horizontal="center" vertical="center" wrapText="1"/>
    </xf>
    <xf numFmtId="41" fontId="9" fillId="11" borderId="8" xfId="0" applyNumberFormat="1" applyFont="1" applyFill="1" applyBorder="1" applyAlignment="1">
      <alignment horizontal="right" vertical="center"/>
    </xf>
    <xf numFmtId="41" fontId="18" fillId="11" borderId="3" xfId="0" applyNumberFormat="1" applyFont="1" applyFill="1" applyBorder="1" applyAlignment="1">
      <alignment horizontal="right" vertical="center"/>
    </xf>
    <xf numFmtId="41" fontId="19" fillId="11" borderId="3" xfId="2" applyNumberFormat="1" applyFont="1" applyFill="1" applyBorder="1" applyAlignment="1">
      <alignment horizontal="right" vertical="center"/>
    </xf>
    <xf numFmtId="41" fontId="18" fillId="11" borderId="3" xfId="2" applyNumberFormat="1" applyFont="1" applyFill="1" applyBorder="1" applyAlignment="1">
      <alignment horizontal="right" vertical="center"/>
    </xf>
    <xf numFmtId="41" fontId="18" fillId="11" borderId="1" xfId="2" applyNumberFormat="1" applyFont="1" applyFill="1" applyBorder="1" applyAlignment="1">
      <alignment horizontal="right" vertical="center"/>
    </xf>
    <xf numFmtId="41" fontId="19" fillId="11" borderId="1" xfId="2" applyNumberFormat="1" applyFont="1" applyFill="1" applyBorder="1" applyAlignment="1">
      <alignment horizontal="right" vertical="center"/>
    </xf>
    <xf numFmtId="41" fontId="18" fillId="11" borderId="8" xfId="2" applyNumberFormat="1" applyFont="1" applyFill="1" applyBorder="1" applyAlignment="1">
      <alignment horizontal="right" vertical="center"/>
    </xf>
    <xf numFmtId="0" fontId="32" fillId="2" borderId="0" xfId="0" applyFont="1" applyFill="1"/>
    <xf numFmtId="41" fontId="34" fillId="2" borderId="1" xfId="2" applyNumberFormat="1" applyFont="1" applyFill="1" applyBorder="1" applyAlignment="1">
      <alignment horizontal="right" vertical="center"/>
    </xf>
    <xf numFmtId="41" fontId="28" fillId="7" borderId="8" xfId="0" applyNumberFormat="1" applyFont="1" applyFill="1" applyBorder="1"/>
    <xf numFmtId="41" fontId="28" fillId="6" borderId="8" xfId="0" applyNumberFormat="1" applyFont="1" applyFill="1" applyBorder="1"/>
    <xf numFmtId="41" fontId="28" fillId="10" borderId="8" xfId="0" applyNumberFormat="1" applyFont="1" applyFill="1" applyBorder="1"/>
    <xf numFmtId="41" fontId="28" fillId="11" borderId="8" xfId="0" applyNumberFormat="1" applyFont="1" applyFill="1" applyBorder="1"/>
    <xf numFmtId="41" fontId="28" fillId="9" borderId="8" xfId="0" applyNumberFormat="1" applyFont="1" applyFill="1" applyBorder="1"/>
    <xf numFmtId="41" fontId="34" fillId="8" borderId="3" xfId="2" applyNumberFormat="1" applyFont="1" applyFill="1" applyBorder="1" applyAlignment="1">
      <alignment horizontal="right" vertical="center"/>
    </xf>
    <xf numFmtId="41" fontId="34" fillId="2" borderId="14" xfId="2" applyNumberFormat="1" applyFont="1" applyFill="1" applyBorder="1" applyAlignment="1">
      <alignment horizontal="right" vertical="center"/>
    </xf>
    <xf numFmtId="41" fontId="28" fillId="7" borderId="15" xfId="0" applyNumberFormat="1" applyFont="1" applyFill="1" applyBorder="1"/>
    <xf numFmtId="41" fontId="28" fillId="6" borderId="15" xfId="0" applyNumberFormat="1" applyFont="1" applyFill="1" applyBorder="1"/>
    <xf numFmtId="41" fontId="28" fillId="10" borderId="15" xfId="0" applyNumberFormat="1" applyFont="1" applyFill="1" applyBorder="1"/>
    <xf numFmtId="41" fontId="28" fillId="11" borderId="15" xfId="0" applyNumberFormat="1" applyFont="1" applyFill="1" applyBorder="1"/>
    <xf numFmtId="41" fontId="28" fillId="9" borderId="15" xfId="0" applyNumberFormat="1" applyFont="1" applyFill="1" applyBorder="1"/>
    <xf numFmtId="0" fontId="4" fillId="0" borderId="0" xfId="0" applyFont="1" applyAlignment="1">
      <alignment horizontal="center"/>
    </xf>
    <xf numFmtId="43" fontId="19" fillId="7" borderId="3" xfId="2" applyNumberFormat="1" applyFont="1" applyFill="1" applyBorder="1" applyAlignment="1">
      <alignment horizontal="right" vertical="center"/>
    </xf>
    <xf numFmtId="49" fontId="5" fillId="12" borderId="8" xfId="0" applyNumberFormat="1" applyFont="1" applyFill="1" applyBorder="1" applyAlignment="1">
      <alignment horizontal="center" vertical="center" wrapText="1"/>
    </xf>
    <xf numFmtId="41" fontId="9" fillId="12" borderId="8" xfId="0" applyNumberFormat="1" applyFont="1" applyFill="1" applyBorder="1" applyAlignment="1">
      <alignment horizontal="right" vertical="center"/>
    </xf>
    <xf numFmtId="41" fontId="18" fillId="12" borderId="3" xfId="0" applyNumberFormat="1" applyFont="1" applyFill="1" applyBorder="1" applyAlignment="1">
      <alignment horizontal="right" vertical="center"/>
    </xf>
    <xf numFmtId="41" fontId="19" fillId="12" borderId="3" xfId="2" applyNumberFormat="1" applyFont="1" applyFill="1" applyBorder="1" applyAlignment="1">
      <alignment horizontal="right" vertical="center"/>
    </xf>
    <xf numFmtId="41" fontId="18" fillId="12" borderId="3" xfId="2" applyNumberFormat="1" applyFont="1" applyFill="1" applyBorder="1" applyAlignment="1">
      <alignment horizontal="right" vertical="center"/>
    </xf>
    <xf numFmtId="41" fontId="18" fillId="12" borderId="1" xfId="2" applyNumberFormat="1" applyFont="1" applyFill="1" applyBorder="1" applyAlignment="1">
      <alignment horizontal="right" vertical="center"/>
    </xf>
    <xf numFmtId="41" fontId="19" fillId="12" borderId="1" xfId="2" applyNumberFormat="1" applyFont="1" applyFill="1" applyBorder="1" applyAlignment="1">
      <alignment horizontal="right" vertical="center"/>
    </xf>
    <xf numFmtId="41" fontId="18" fillId="12" borderId="8" xfId="2" applyNumberFormat="1" applyFont="1" applyFill="1" applyBorder="1" applyAlignment="1">
      <alignment horizontal="right" vertical="center"/>
    </xf>
    <xf numFmtId="41" fontId="28" fillId="12" borderId="8" xfId="0" applyNumberFormat="1" applyFont="1" applyFill="1" applyBorder="1"/>
    <xf numFmtId="41" fontId="28" fillId="12" borderId="15" xfId="0" applyNumberFormat="1" applyFont="1" applyFill="1" applyBorder="1"/>
    <xf numFmtId="2" fontId="18" fillId="2" borderId="15" xfId="0" applyNumberFormat="1" applyFont="1" applyFill="1" applyBorder="1" applyAlignment="1">
      <alignment horizontal="center" vertical="center"/>
    </xf>
    <xf numFmtId="41" fontId="32" fillId="2" borderId="0" xfId="0" applyNumberFormat="1" applyFont="1" applyFill="1"/>
    <xf numFmtId="43" fontId="32" fillId="2" borderId="0" xfId="0" applyNumberFormat="1" applyFont="1" applyFill="1"/>
    <xf numFmtId="0" fontId="36" fillId="2" borderId="35" xfId="0" applyFont="1" applyFill="1" applyBorder="1" applyAlignment="1">
      <alignment horizontal="left" vertical="center" wrapText="1"/>
    </xf>
    <xf numFmtId="41" fontId="35" fillId="0" borderId="35" xfId="2" applyNumberFormat="1" applyFont="1" applyBorder="1" applyAlignment="1">
      <alignment horizontal="right" vertical="center"/>
    </xf>
    <xf numFmtId="0" fontId="35" fillId="0" borderId="35" xfId="2" applyFont="1" applyBorder="1" applyAlignment="1">
      <alignment horizontal="left" vertical="center" wrapText="1"/>
    </xf>
    <xf numFmtId="0" fontId="37" fillId="2" borderId="0" xfId="0" applyFont="1" applyFill="1"/>
    <xf numFmtId="43" fontId="32" fillId="2" borderId="0" xfId="203" applyFont="1" applyFill="1"/>
    <xf numFmtId="41" fontId="35" fillId="0" borderId="35" xfId="2" applyNumberFormat="1" applyFont="1" applyBorder="1" applyAlignment="1">
      <alignment horizontal="left" vertical="center" wrapText="1"/>
    </xf>
    <xf numFmtId="0" fontId="38" fillId="0" borderId="0" xfId="0" applyFont="1" applyAlignment="1"/>
    <xf numFmtId="0" fontId="38" fillId="0" borderId="0" xfId="0" applyFont="1" applyAlignment="1">
      <alignment horizontal="center"/>
    </xf>
    <xf numFmtId="41" fontId="37" fillId="2" borderId="0" xfId="0" applyNumberFormat="1" applyFont="1" applyFill="1"/>
    <xf numFmtId="41" fontId="32" fillId="2" borderId="0" xfId="203" applyNumberFormat="1" applyFont="1" applyFill="1"/>
    <xf numFmtId="0" fontId="36" fillId="2" borderId="0" xfId="0" applyFont="1" applyFill="1" applyBorder="1" applyAlignment="1">
      <alignment horizontal="left" vertical="center" wrapText="1"/>
    </xf>
    <xf numFmtId="49" fontId="5" fillId="13" borderId="8" xfId="0" applyNumberFormat="1" applyFont="1" applyFill="1" applyBorder="1" applyAlignment="1">
      <alignment horizontal="center" vertical="center" wrapText="1"/>
    </xf>
    <xf numFmtId="0" fontId="9" fillId="13" borderId="8" xfId="0" applyFont="1" applyFill="1" applyBorder="1" applyAlignment="1">
      <alignment horizontal="right" vertical="center"/>
    </xf>
    <xf numFmtId="41" fontId="18" fillId="13" borderId="3" xfId="0" applyNumberFormat="1" applyFont="1" applyFill="1" applyBorder="1" applyAlignment="1">
      <alignment horizontal="right" vertical="center"/>
    </xf>
    <xf numFmtId="41" fontId="19" fillId="13" borderId="8" xfId="0" applyNumberFormat="1" applyFont="1" applyFill="1" applyBorder="1" applyAlignment="1">
      <alignment horizontal="right" vertical="center"/>
    </xf>
    <xf numFmtId="41" fontId="18" fillId="13" borderId="3" xfId="2" applyNumberFormat="1" applyFont="1" applyFill="1" applyBorder="1" applyAlignment="1">
      <alignment horizontal="right" vertical="center"/>
    </xf>
    <xf numFmtId="41" fontId="18" fillId="13" borderId="8" xfId="0" applyNumberFormat="1" applyFont="1" applyFill="1" applyBorder="1" applyAlignment="1">
      <alignment horizontal="right" vertical="center"/>
    </xf>
    <xf numFmtId="41" fontId="18" fillId="13" borderId="1" xfId="2" applyNumberFormat="1" applyFont="1" applyFill="1" applyBorder="1" applyAlignment="1">
      <alignment horizontal="right" vertical="center"/>
    </xf>
    <xf numFmtId="41" fontId="14" fillId="13" borderId="8" xfId="0" applyNumberFormat="1" applyFont="1" applyFill="1" applyBorder="1" applyAlignment="1">
      <alignment horizontal="right" vertical="center"/>
    </xf>
    <xf numFmtId="41" fontId="30" fillId="13" borderId="3" xfId="2" applyNumberFormat="1" applyFont="1" applyFill="1" applyBorder="1" applyAlignment="1">
      <alignment horizontal="right" vertical="center"/>
    </xf>
    <xf numFmtId="41" fontId="34" fillId="13" borderId="8" xfId="0" applyNumberFormat="1" applyFont="1" applyFill="1" applyBorder="1" applyAlignment="1">
      <alignment horizontal="right" vertical="center"/>
    </xf>
    <xf numFmtId="41" fontId="34" fillId="13" borderId="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3" borderId="22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9" borderId="25" xfId="0" applyFont="1" applyFill="1" applyBorder="1" applyAlignment="1">
      <alignment horizontal="center" vertical="center"/>
    </xf>
    <xf numFmtId="0" fontId="7" fillId="9" borderId="37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0" fontId="5" fillId="11" borderId="12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/>
    </xf>
    <xf numFmtId="0" fontId="5" fillId="9" borderId="12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</cellXfs>
  <cellStyles count="204">
    <cellStyle name="Comma" xfId="203" builtinId="3"/>
    <cellStyle name="Comma [0] 2" xfId="178"/>
    <cellStyle name="Comma [0] 3" xfId="179"/>
    <cellStyle name="Comma [0] 4" xfId="184"/>
    <cellStyle name="Comma [0] 4 2" xfId="195"/>
    <cellStyle name="Comma 2" xfId="180"/>
    <cellStyle name="Comma 2 2" xfId="181"/>
    <cellStyle name="Comma 2 3" xfId="193"/>
    <cellStyle name="Comma 3" xfId="182"/>
    <cellStyle name="Normal" xfId="0" builtinId="0"/>
    <cellStyle name="Normal 10" xfId="1"/>
    <cellStyle name="Normal 100" xfId="2"/>
    <cellStyle name="Normal 101" xfId="3"/>
    <cellStyle name="Normal 102" xfId="197"/>
    <cellStyle name="Normal 103" xfId="198"/>
    <cellStyle name="Normal 104" xfId="199"/>
    <cellStyle name="Normal 105" xfId="200"/>
    <cellStyle name="Normal 106" xfId="201"/>
    <cellStyle name="Normal 107" xfId="202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2" xfId="13"/>
    <cellStyle name="Normal 2 10" xfId="14"/>
    <cellStyle name="Normal 2 11" xfId="15"/>
    <cellStyle name="Normal 2 12" xfId="175"/>
    <cellStyle name="Normal 2 2" xfId="16"/>
    <cellStyle name="Normal 2 2 2" xfId="183"/>
    <cellStyle name="Normal 2 2 3" xfId="194"/>
    <cellStyle name="Normal 2 3" xfId="17"/>
    <cellStyle name="Normal 2 4" xfId="18"/>
    <cellStyle name="Normal 2 4 2" xfId="196"/>
    <cellStyle name="Normal 2 5" xfId="19"/>
    <cellStyle name="Normal 2 6" xfId="20"/>
    <cellStyle name="Normal 2 7" xfId="21"/>
    <cellStyle name="Normal 2 8" xfId="22"/>
    <cellStyle name="Normal 2 9" xfId="23"/>
    <cellStyle name="Normal 20" xfId="24"/>
    <cellStyle name="Normal 21" xfId="25"/>
    <cellStyle name="Normal 22" xfId="26"/>
    <cellStyle name="Normal 23" xfId="27"/>
    <cellStyle name="Normal 24" xfId="28"/>
    <cellStyle name="Normal 25" xfId="29"/>
    <cellStyle name="Normal 26" xfId="30"/>
    <cellStyle name="Normal 27" xfId="31"/>
    <cellStyle name="Normal 28" xfId="32"/>
    <cellStyle name="Normal 29" xfId="33"/>
    <cellStyle name="Normal 3" xfId="34"/>
    <cellStyle name="Normal 3 10" xfId="35"/>
    <cellStyle name="Normal 3 11" xfId="36"/>
    <cellStyle name="Normal 3 12" xfId="37"/>
    <cellStyle name="Normal 3 13" xfId="38"/>
    <cellStyle name="Normal 3 14" xfId="39"/>
    <cellStyle name="Normal 3 15" xfId="40"/>
    <cellStyle name="Normal 3 16" xfId="41"/>
    <cellStyle name="Normal 3 2" xfId="42"/>
    <cellStyle name="Normal 3 2 10" xfId="43"/>
    <cellStyle name="Normal 3 2 11" xfId="44"/>
    <cellStyle name="Normal 3 2 12" xfId="45"/>
    <cellStyle name="Normal 3 2 13" xfId="46"/>
    <cellStyle name="Normal 3 2 14" xfId="47"/>
    <cellStyle name="Normal 3 2 15" xfId="48"/>
    <cellStyle name="Normal 3 2 16" xfId="49"/>
    <cellStyle name="Normal 3 2 2" xfId="50"/>
    <cellStyle name="Normal 3 2 3" xfId="51"/>
    <cellStyle name="Normal 3 2 4" xfId="52"/>
    <cellStyle name="Normal 3 2 5" xfId="53"/>
    <cellStyle name="Normal 3 2 6" xfId="54"/>
    <cellStyle name="Normal 3 2 7" xfId="55"/>
    <cellStyle name="Normal 3 2 8" xfId="56"/>
    <cellStyle name="Normal 3 2 9" xfId="57"/>
    <cellStyle name="Normal 3 3" xfId="58"/>
    <cellStyle name="Normal 3 4" xfId="59"/>
    <cellStyle name="Normal 3 5" xfId="60"/>
    <cellStyle name="Normal 3 6" xfId="61"/>
    <cellStyle name="Normal 3 7" xfId="62"/>
    <cellStyle name="Normal 3 8" xfId="63"/>
    <cellStyle name="Normal 3 8 7" xfId="64"/>
    <cellStyle name="Normal 3 9" xfId="65"/>
    <cellStyle name="Normal 30" xfId="66"/>
    <cellStyle name="Normal 31" xfId="67"/>
    <cellStyle name="Normal 32" xfId="68"/>
    <cellStyle name="Normal 33" xfId="69"/>
    <cellStyle name="Normal 34" xfId="70"/>
    <cellStyle name="Normal 35" xfId="71"/>
    <cellStyle name="Normal 36" xfId="72"/>
    <cellStyle name="Normal 37" xfId="73"/>
    <cellStyle name="Normal 38" xfId="74"/>
    <cellStyle name="Normal 39" xfId="75"/>
    <cellStyle name="Normal 4" xfId="76"/>
    <cellStyle name="Normal 4 10" xfId="77"/>
    <cellStyle name="Normal 4 11" xfId="78"/>
    <cellStyle name="Normal 4 12" xfId="79"/>
    <cellStyle name="Normal 4 13" xfId="80"/>
    <cellStyle name="Normal 4 14" xfId="81"/>
    <cellStyle name="Normal 4 15" xfId="82"/>
    <cellStyle name="Normal 4 16" xfId="83"/>
    <cellStyle name="Normal 4 2" xfId="84"/>
    <cellStyle name="Normal 4 2 10" xfId="85"/>
    <cellStyle name="Normal 4 2 11" xfId="86"/>
    <cellStyle name="Normal 4 2 12" xfId="87"/>
    <cellStyle name="Normal 4 2 13" xfId="88"/>
    <cellStyle name="Normal 4 2 14" xfId="89"/>
    <cellStyle name="Normal 4 2 15" xfId="90"/>
    <cellStyle name="Normal 4 2 16" xfId="91"/>
    <cellStyle name="Normal 4 2 2" xfId="92"/>
    <cellStyle name="Normal 4 2 3" xfId="93"/>
    <cellStyle name="Normal 4 2 4" xfId="94"/>
    <cellStyle name="Normal 4 2 5" xfId="95"/>
    <cellStyle name="Normal 4 2 6" xfId="96"/>
    <cellStyle name="Normal 4 2 7" xfId="97"/>
    <cellStyle name="Normal 4 2 8" xfId="98"/>
    <cellStyle name="Normal 4 2 9" xfId="99"/>
    <cellStyle name="Normal 4 3" xfId="100"/>
    <cellStyle name="Normal 4 4" xfId="101"/>
    <cellStyle name="Normal 4 5" xfId="102"/>
    <cellStyle name="Normal 4 6" xfId="103"/>
    <cellStyle name="Normal 4 7" xfId="104"/>
    <cellStyle name="Normal 4 8" xfId="105"/>
    <cellStyle name="Normal 4 9" xfId="106"/>
    <cellStyle name="Normal 40" xfId="107"/>
    <cellStyle name="Normal 41" xfId="108"/>
    <cellStyle name="Normal 42" xfId="109"/>
    <cellStyle name="Normal 43" xfId="110"/>
    <cellStyle name="Normal 44" xfId="111"/>
    <cellStyle name="Normal 45" xfId="112"/>
    <cellStyle name="Normal 46" xfId="113"/>
    <cellStyle name="Normal 47" xfId="114"/>
    <cellStyle name="Normal 48" xfId="115"/>
    <cellStyle name="Normal 49" xfId="116"/>
    <cellStyle name="Normal 5" xfId="117"/>
    <cellStyle name="Normal 5 2" xfId="118"/>
    <cellStyle name="Normal 50" xfId="119"/>
    <cellStyle name="Normal 51" xfId="120"/>
    <cellStyle name="Normal 52" xfId="121"/>
    <cellStyle name="Normal 53" xfId="122"/>
    <cellStyle name="Normal 54" xfId="123"/>
    <cellStyle name="Normal 55" xfId="124"/>
    <cellStyle name="Normal 56" xfId="125"/>
    <cellStyle name="Normal 57" xfId="126"/>
    <cellStyle name="Normal 58" xfId="127"/>
    <cellStyle name="Normal 59" xfId="128"/>
    <cellStyle name="Normal 6" xfId="129"/>
    <cellStyle name="Normal 6 2" xfId="130"/>
    <cellStyle name="Normal 60" xfId="131"/>
    <cellStyle name="Normal 61" xfId="132"/>
    <cellStyle name="Normal 62" xfId="133"/>
    <cellStyle name="Normal 63" xfId="134"/>
    <cellStyle name="Normal 64" xfId="135"/>
    <cellStyle name="Normal 65" xfId="136"/>
    <cellStyle name="Normal 65 2" xfId="137"/>
    <cellStyle name="Normal 66" xfId="138"/>
    <cellStyle name="Normal 67" xfId="139"/>
    <cellStyle name="Normal 68" xfId="140"/>
    <cellStyle name="Normal 69" xfId="141"/>
    <cellStyle name="Normal 7" xfId="142"/>
    <cellStyle name="Normal 7 2" xfId="143"/>
    <cellStyle name="Normal 70" xfId="144"/>
    <cellStyle name="Normal 71" xfId="145"/>
    <cellStyle name="Normal 72" xfId="146"/>
    <cellStyle name="Normal 73" xfId="147"/>
    <cellStyle name="Normal 74" xfId="148"/>
    <cellStyle name="Normal 75" xfId="149"/>
    <cellStyle name="Normal 76" xfId="150"/>
    <cellStyle name="Normal 77" xfId="151"/>
    <cellStyle name="Normal 78" xfId="152"/>
    <cellStyle name="Normal 79" xfId="153"/>
    <cellStyle name="Normal 8" xfId="176"/>
    <cellStyle name="Normal 8 2" xfId="154"/>
    <cellStyle name="Normal 80" xfId="155"/>
    <cellStyle name="Normal 81" xfId="156"/>
    <cellStyle name="Normal 82" xfId="157"/>
    <cellStyle name="Normal 83" xfId="158"/>
    <cellStyle name="Normal 84" xfId="159"/>
    <cellStyle name="Normal 85" xfId="160"/>
    <cellStyle name="Normal 86" xfId="161"/>
    <cellStyle name="Normal 87" xfId="162"/>
    <cellStyle name="Normal 88" xfId="163"/>
    <cellStyle name="Normal 89" xfId="164"/>
    <cellStyle name="Normal 9" xfId="165"/>
    <cellStyle name="Normal 90" xfId="166"/>
    <cellStyle name="Normal 91" xfId="167"/>
    <cellStyle name="Normal 92" xfId="168"/>
    <cellStyle name="Normal 93" xfId="169"/>
    <cellStyle name="Normal 94" xfId="170"/>
    <cellStyle name="Normal 95" xfId="171"/>
    <cellStyle name="Normal 96" xfId="177"/>
    <cellStyle name="Normal 97" xfId="172"/>
    <cellStyle name="Normal 98" xfId="173"/>
    <cellStyle name="Normal 99" xfId="174"/>
    <cellStyle name="S10" xfId="185"/>
    <cellStyle name="S11" xfId="186"/>
    <cellStyle name="S12" xfId="187"/>
    <cellStyle name="S13" xfId="188"/>
    <cellStyle name="S15" xfId="189"/>
    <cellStyle name="S16" xfId="190"/>
    <cellStyle name="S17" xfId="191"/>
    <cellStyle name="S23" xfId="192"/>
  </cellStyles>
  <dxfs count="0"/>
  <tableStyles count="0" defaultTableStyle="TableStyleMedium9" defaultPivotStyle="PivotStyleLight16"/>
  <colors>
    <mruColors>
      <color rgb="FF99FF99"/>
      <color rgb="FFCC99FF"/>
      <color rgb="FF00FFFF"/>
      <color rgb="FFCCFF33"/>
      <color rgb="FFFF7C80"/>
      <color rgb="FFFFCC00"/>
      <color rgb="FF00FF00"/>
      <color rgb="FFFFCCFF"/>
      <color rgb="FF00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1227317</xdr:colOff>
      <xdr:row>1</xdr:row>
      <xdr:rowOff>104775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560692" cy="3333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id-ID" sz="2000">
              <a:solidFill>
                <a:schemeClr val="tx1"/>
              </a:solidFill>
              <a:latin typeface="Agency FB" pitchFamily="34" charset="0"/>
            </a:rPr>
            <a:t>FORMAT </a:t>
          </a:r>
          <a:r>
            <a:rPr lang="en-US" sz="2000">
              <a:solidFill>
                <a:schemeClr val="tx1"/>
              </a:solidFill>
              <a:latin typeface="Agency FB" pitchFamily="34" charset="0"/>
            </a:rPr>
            <a:t> 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PELITBANGDA/BPK/Perbandingan%20RPJMD-D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.2"/>
      <sheetName val="1.4.7"/>
      <sheetName val="1.4.8"/>
      <sheetName val="DPPA"/>
      <sheetName val="RKA"/>
      <sheetName val="Renja"/>
      <sheetName val="KUPA-PPASP"/>
      <sheetName val="KUA-PPAS"/>
      <sheetName val="RKPD"/>
      <sheetName val="Program RPJMD_pokok"/>
      <sheetName val="Program RPJMD_revisi"/>
      <sheetName val="Program_APBD"/>
      <sheetName val="2016"/>
      <sheetName val="2017"/>
      <sheetName val="2018"/>
      <sheetName val="Program, Kegiatan 2016"/>
      <sheetName val="Program, Kegiatan 2017"/>
      <sheetName val="Program, Kegiatan 2018"/>
    </sheetNames>
    <sheetDataSet>
      <sheetData sheetId="0"/>
      <sheetData sheetId="1"/>
      <sheetData sheetId="2"/>
      <sheetData sheetId="3"/>
      <sheetData sheetId="4">
        <row r="4">
          <cell r="B4" t="str">
            <v>Program Pendidikan Anak Usia Dini</v>
          </cell>
          <cell r="C4" t="str">
            <v>APK PAUD formal dan Non
Formal</v>
          </cell>
          <cell r="D4">
            <v>0</v>
          </cell>
          <cell r="E4">
            <v>0</v>
          </cell>
          <cell r="F4">
            <v>0</v>
          </cell>
          <cell r="G4">
            <v>1559495000</v>
          </cell>
          <cell r="H4">
            <v>0</v>
          </cell>
          <cell r="I4">
            <v>0</v>
          </cell>
          <cell r="J4" t="str">
            <v>1 TAHUN</v>
          </cell>
          <cell r="K4">
            <v>3575607600</v>
          </cell>
          <cell r="L4" t="str">
            <v>Terselenggaranya Pendidikan Anak Usia Dini</v>
          </cell>
          <cell r="M4" t="str">
            <v>1 tahun</v>
          </cell>
          <cell r="N4">
            <v>3782617600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8</v>
          </cell>
          <cell r="K5">
            <v>1667125000</v>
          </cell>
          <cell r="L5" t="str">
            <v>Jumlah Gedung TK yang di bangun</v>
          </cell>
          <cell r="M5">
            <v>8</v>
          </cell>
          <cell r="N5">
            <v>1677025000</v>
          </cell>
        </row>
        <row r="6">
          <cell r="B6" t="str">
            <v>Kegiatan Penyelenggaraan Pendidikan Anak Usia Dini</v>
          </cell>
          <cell r="C6" t="str">
            <v>Jumlah TK yang mendapatkan
pelayanan PAUD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11</v>
          </cell>
          <cell r="K6">
            <v>607875000</v>
          </cell>
          <cell r="L6" t="str">
            <v>Jumlah TK yang mendapatkan
pelayanan PAUD</v>
          </cell>
          <cell r="M6">
            <v>11</v>
          </cell>
          <cell r="N6">
            <v>557875000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 t="str">
            <v>2 DOK</v>
          </cell>
          <cell r="K7">
            <v>19866600</v>
          </cell>
          <cell r="L7" t="str">
            <v>Jumlah dokumen retensi/utang yang akan di bayarkan</v>
          </cell>
          <cell r="M7" t="str">
            <v>2 dok</v>
          </cell>
          <cell r="N7">
            <v>312266600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E8">
            <v>0</v>
          </cell>
          <cell r="F8">
            <v>84</v>
          </cell>
          <cell r="G8">
            <v>88822422831</v>
          </cell>
          <cell r="H8">
            <v>0</v>
          </cell>
          <cell r="I8">
            <v>0</v>
          </cell>
          <cell r="J8" t="str">
            <v>1 TAHUN</v>
          </cell>
          <cell r="K8">
            <v>94442666148</v>
          </cell>
          <cell r="L8" t="str">
            <v>Peningkatan mutu/kualitas pendidikan wajib belajar dasar sembilan tahun</v>
          </cell>
          <cell r="M8" t="str">
            <v>1 tahun</v>
          </cell>
          <cell r="N8">
            <v>112545744031</v>
          </cell>
        </row>
        <row r="9">
          <cell r="B9">
            <v>0</v>
          </cell>
          <cell r="C9" t="str">
            <v>AK SMP</v>
          </cell>
          <cell r="D9">
            <v>20</v>
          </cell>
          <cell r="E9">
            <v>0</v>
          </cell>
          <cell r="F9">
            <v>20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B10">
            <v>0</v>
          </cell>
          <cell r="C10" t="str">
            <v>AM SD</v>
          </cell>
          <cell r="D10">
            <v>122</v>
          </cell>
          <cell r="E10">
            <v>0</v>
          </cell>
          <cell r="F10">
            <v>135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B11">
            <v>0</v>
          </cell>
          <cell r="C11" t="str">
            <v>AM SMP</v>
          </cell>
          <cell r="D11">
            <v>51.98</v>
          </cell>
          <cell r="E11">
            <v>0</v>
          </cell>
          <cell r="F11">
            <v>51.98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B12">
            <v>0</v>
          </cell>
          <cell r="C12" t="str">
            <v>APK SD</v>
          </cell>
          <cell r="D12">
            <v>50</v>
          </cell>
          <cell r="E12">
            <v>0</v>
          </cell>
          <cell r="F12">
            <v>50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B13">
            <v>0</v>
          </cell>
          <cell r="C13" t="str">
            <v>APK SMP</v>
          </cell>
          <cell r="D13">
            <v>50</v>
          </cell>
          <cell r="E13">
            <v>0</v>
          </cell>
          <cell r="F13">
            <v>50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B14">
            <v>0</v>
          </cell>
          <cell r="C14" t="str">
            <v>APM SD</v>
          </cell>
          <cell r="D14">
            <v>41.85</v>
          </cell>
          <cell r="E14">
            <v>0</v>
          </cell>
          <cell r="F14">
            <v>42.3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B15">
            <v>0</v>
          </cell>
          <cell r="C15" t="str">
            <v>APM SMP</v>
          </cell>
          <cell r="D15">
            <v>70</v>
          </cell>
          <cell r="E15">
            <v>0</v>
          </cell>
          <cell r="F15">
            <v>70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B16">
            <v>0</v>
          </cell>
          <cell r="C16" t="str">
            <v>APS 7-12 thn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B17">
            <v>0</v>
          </cell>
          <cell r="C17" t="str">
            <v>APS 13-15 thn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B18">
            <v>0</v>
          </cell>
          <cell r="C18" t="str">
            <v>APtS SD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B19">
            <v>0</v>
          </cell>
          <cell r="C19" t="str">
            <v>APtS SMP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53</v>
          </cell>
          <cell r="K20">
            <v>15167388269</v>
          </cell>
          <cell r="L20" t="str">
            <v>Jumlah RKB yang dibangun</v>
          </cell>
          <cell r="M20">
            <v>55</v>
          </cell>
          <cell r="N20">
            <v>12259823816</v>
          </cell>
        </row>
        <row r="21">
          <cell r="B21">
            <v>0</v>
          </cell>
          <cell r="C21" t="str">
            <v>Jumlah RKB SMP yang dibangun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185</v>
          </cell>
          <cell r="K22">
            <v>36436064000</v>
          </cell>
          <cell r="L22" t="str">
            <v xml:space="preserve">Jumlah sekolah yang akan mendapatkan pembinaan dana BOS </v>
          </cell>
          <cell r="M22">
            <v>185</v>
          </cell>
          <cell r="N22">
            <v>36640418999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13 paket</v>
          </cell>
          <cell r="K23">
            <v>4069343669</v>
          </cell>
          <cell r="L23" t="str">
            <v>jumlah pagar sekolah yang dibangun</v>
          </cell>
          <cell r="M23">
            <v>28</v>
          </cell>
          <cell r="N23">
            <v>5850141819</v>
          </cell>
        </row>
        <row r="24">
          <cell r="B24">
            <v>0</v>
          </cell>
          <cell r="C24" t="str">
            <v>Kegiatan Panjang  pagar SMP yang dibangun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 t="str">
            <v>Kegiatan Pelayanan Pendidikan Gratis</v>
          </cell>
          <cell r="C25" t="str">
            <v>Jumlah sekolah yang menerima
Dana Operasional Pendidikan
Gratis SD sederajat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254</v>
          </cell>
          <cell r="K25">
            <v>10598605800</v>
          </cell>
          <cell r="L25" t="str">
            <v>Tersedianya dana operasional  pendidikan di tingkat SD, MI, SMP, MTs, sederajat</v>
          </cell>
          <cell r="M25">
            <v>254</v>
          </cell>
          <cell r="N25">
            <v>10669500800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0</v>
          </cell>
          <cell r="G26">
            <v>1013632500</v>
          </cell>
          <cell r="H26">
            <v>0</v>
          </cell>
          <cell r="I26">
            <v>0</v>
          </cell>
          <cell r="J26" t="str">
            <v>1 tahun</v>
          </cell>
          <cell r="K26">
            <v>861962500</v>
          </cell>
          <cell r="L26">
            <v>0</v>
          </cell>
          <cell r="M26" t="str">
            <v>1 tahun</v>
          </cell>
          <cell r="N26">
            <v>726285000</v>
          </cell>
        </row>
        <row r="27">
          <cell r="B27" t="str">
            <v>Kegiatan Pemberian Bantuan Operasional Pendidikan Non
Formal</v>
          </cell>
          <cell r="C27" t="str">
            <v>Jumlah waraga belajar kejar pakat A,B dan C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290</v>
          </cell>
          <cell r="K27">
            <v>395500000</v>
          </cell>
          <cell r="L27" t="str">
            <v>Jumlah waraga belajar kejar pakat A,B dan C</v>
          </cell>
          <cell r="M27">
            <v>290</v>
          </cell>
          <cell r="N27">
            <v>345480000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3 tingkatan
70%</v>
          </cell>
          <cell r="K28">
            <v>197902500</v>
          </cell>
          <cell r="L28" t="str">
            <v xml:space="preserve">Terlaksananya Ujian Kesetaraan
Berkurangnya Jumlah Putus Sekolah
</v>
          </cell>
          <cell r="M28" t="str">
            <v>3 tingkatan
70%</v>
          </cell>
          <cell r="N28">
            <v>126450000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672081000</v>
          </cell>
          <cell r="H29">
            <v>0</v>
          </cell>
          <cell r="I29">
            <v>0</v>
          </cell>
          <cell r="J29" t="str">
            <v>1 tahun</v>
          </cell>
          <cell r="K29">
            <v>751749000</v>
          </cell>
          <cell r="L29" t="str">
            <v>Meningkatnya Mutu Pendidik dan Tenaga Kependidikan</v>
          </cell>
          <cell r="M29" t="str">
            <v>1 Tahun</v>
          </cell>
          <cell r="N29">
            <v>641098000</v>
          </cell>
        </row>
        <row r="30">
          <cell r="B30">
            <v>0</v>
          </cell>
          <cell r="C30" t="str">
            <v>Guru bersertifikat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B31">
            <v>0</v>
          </cell>
          <cell r="C31" t="str">
            <v>Guru berkualifikasi S-1/D-IV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B32">
            <v>0</v>
          </cell>
          <cell r="C32" t="str">
            <v>Rasio guru:murid SD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B33">
            <v>0</v>
          </cell>
          <cell r="C33" t="str">
            <v>Rasio guru:murid SMP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200</v>
          </cell>
          <cell r="K34">
            <v>90370000</v>
          </cell>
          <cell r="L34" t="str">
            <v>Jumlah peserta Kegiatan Sertifikasi yang dilaksanakan</v>
          </cell>
          <cell r="M34">
            <v>200</v>
          </cell>
          <cell r="N34">
            <v>90370000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362</v>
          </cell>
          <cell r="K35">
            <v>132498000</v>
          </cell>
          <cell r="L35" t="str">
            <v>Jumlah  Guru yang Mengikuti  Kelompok Kerja Guru (KKG)</v>
          </cell>
          <cell r="M35">
            <v>362</v>
          </cell>
          <cell r="N35">
            <v>132498000</v>
          </cell>
        </row>
        <row r="36">
          <cell r="B36" t="str">
            <v>Pengembangan Sistem Penghargaan Dan Perlindungan Terhadap Profesi Pendidik</v>
          </cell>
          <cell r="C36" t="str">
            <v>Jumlah guru mengikuti lomba guru berprestasi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256</v>
          </cell>
          <cell r="K36">
            <v>119637000</v>
          </cell>
          <cell r="L36" t="str">
            <v>Jumlah  Guru yang mengikuti lomba Guru Berprestasi dan Berdedikasi</v>
          </cell>
          <cell r="M36">
            <v>216</v>
          </cell>
          <cell r="N36">
            <v>76102000</v>
          </cell>
        </row>
        <row r="37">
          <cell r="B37" t="str">
            <v>Pembinaan Musyawarah Guru Mata Pelajaran</v>
          </cell>
          <cell r="C37" t="str">
            <v>Jumlah guru mata pelajaran yang bermusyawarah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585</v>
          </cell>
          <cell r="K37">
            <v>138715000</v>
          </cell>
          <cell r="L37" t="str">
            <v>Jumlah  Guru yang Mengikuti MGMP</v>
          </cell>
          <cell r="M37">
            <v>585</v>
          </cell>
          <cell r="N37">
            <v>138715000</v>
          </cell>
        </row>
        <row r="38">
          <cell r="B38" t="str">
            <v>Program Manajemen Pelayanan Pendidikan</v>
          </cell>
          <cell r="C38" t="str">
            <v>Persentase angka partisipasi pendidikan tinggi</v>
          </cell>
          <cell r="D38">
            <v>0</v>
          </cell>
          <cell r="E38">
            <v>0</v>
          </cell>
          <cell r="F38">
            <v>0</v>
          </cell>
          <cell r="G38">
            <v>19982650000</v>
          </cell>
          <cell r="H38">
            <v>0</v>
          </cell>
          <cell r="I38">
            <v>0</v>
          </cell>
          <cell r="J38" t="str">
            <v>1 tahun</v>
          </cell>
          <cell r="K38">
            <v>16324360500</v>
          </cell>
          <cell r="L38" t="str">
            <v>Terpenuhinya pendidikan yang berkualitas</v>
          </cell>
          <cell r="M38" t="str">
            <v>1 tahun</v>
          </cell>
          <cell r="N38">
            <v>18955770500</v>
          </cell>
        </row>
        <row r="39">
          <cell r="B39" t="str">
            <v>Kegiatan Pelaksanaan Kerjasama Secara Kelembagaan Di
Bidang Pendidikan</v>
          </cell>
          <cell r="C39" t="str">
            <v>Jumlah mahasiswa menerima bantuan pendidikan tinggi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3875</v>
          </cell>
          <cell r="K39">
            <v>15678905000</v>
          </cell>
          <cell r="L39" t="str">
            <v>Terlaksananya pemberian bea siswa kepada mahasiswa
berprestasi dan kurang mampu</v>
          </cell>
          <cell r="M39">
            <v>4500</v>
          </cell>
          <cell r="N39">
            <v>18243785000</v>
          </cell>
        </row>
        <row r="40">
          <cell r="B40" t="str">
            <v>Kegiatan Pembinaan Dewan Pendidikan</v>
          </cell>
          <cell r="C40" t="str">
            <v>Jumlah program dewan pendidikan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13</v>
          </cell>
          <cell r="K40">
            <v>410187500</v>
          </cell>
          <cell r="L40" t="str">
            <v>Jumlah pengelolaan Dewan Pendidikan</v>
          </cell>
          <cell r="M40">
            <v>13</v>
          </cell>
          <cell r="N40">
            <v>410187500</v>
          </cell>
        </row>
        <row r="41">
          <cell r="B41" t="str">
            <v>Penyediaan Jasa Guru PTT dan Guru Kontrak  (Berdasarkan UU ASN berubah nama menjadi P3K)</v>
          </cell>
          <cell r="C41" t="str">
            <v>Jumlah Guru Non PNS Upahjasa daerah terpencil dan guru agama menerima Insentif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B42">
            <v>0</v>
          </cell>
          <cell r="C42" t="str">
            <v>Upah jasa Tenaga Kependiikan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B43">
            <v>0</v>
          </cell>
          <cell r="C43" t="str">
            <v>Upah jasa  guru daerah terpencil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B44">
            <v>0</v>
          </cell>
          <cell r="C44" t="str">
            <v>Upah jasa guru agama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B45">
            <v>0</v>
          </cell>
          <cell r="C45" t="str">
            <v>Honor daerah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B46" t="str">
            <v>DINAS KESEHATAN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43315</v>
          </cell>
        </row>
        <row r="47">
          <cell r="B47" t="str">
            <v>Program Standarisasi Pelayanan Kesehatan</v>
          </cell>
          <cell r="C47" t="str">
            <v>persentase FKTP yang memberikan pelayanan sesuai standar</v>
          </cell>
          <cell r="D47" t="str">
            <v>- 7
- 50</v>
          </cell>
          <cell r="E47">
            <v>0</v>
          </cell>
          <cell r="F47" t="str">
            <v>- 7
- 50</v>
          </cell>
          <cell r="G47">
            <v>13049940580</v>
          </cell>
          <cell r="H47">
            <v>0</v>
          </cell>
          <cell r="I47">
            <v>0</v>
          </cell>
          <cell r="J47">
            <v>0.8</v>
          </cell>
          <cell r="K47">
            <v>13899362040</v>
          </cell>
          <cell r="L47">
            <v>0</v>
          </cell>
          <cell r="M47">
            <v>0.75</v>
          </cell>
          <cell r="N47">
            <v>24071476237</v>
          </cell>
        </row>
        <row r="48">
          <cell r="B48" t="str">
            <v>Kegiatan Evaluasi Dan Pengembangan Standar Pelayanan
Kesehatan</v>
          </cell>
          <cell r="C48" t="str">
            <v>persentase masyarakat kurang mampu yang memiliki jaminan kesehatan nasional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0.85</v>
          </cell>
          <cell r="K48">
            <v>12361681540</v>
          </cell>
          <cell r="L48" t="str">
            <v>Terlaksanannya Jaminan Kesehatan Nasional APBN bagi Masyarakat kurang mampu</v>
          </cell>
          <cell r="M48">
            <v>0.28999999999999998</v>
          </cell>
          <cell r="N48">
            <v>22421144897</v>
          </cell>
        </row>
        <row r="49">
          <cell r="B49" t="str">
            <v xml:space="preserve">Kegiatan Peningkatan Kualitas Pelayanan Kesehatan </v>
          </cell>
          <cell r="C49" t="str">
            <v>Jumlah Puskesmas yang terakreditasi (PKM)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3</v>
          </cell>
          <cell r="K49">
            <v>1274316000</v>
          </cell>
          <cell r="L49">
            <v>0</v>
          </cell>
          <cell r="M49">
            <v>3</v>
          </cell>
          <cell r="N49">
            <v>816940190</v>
          </cell>
        </row>
        <row r="50">
          <cell r="B50">
            <v>0</v>
          </cell>
          <cell r="C50" t="str">
            <v>Jumlah Puskesmsas yang mendapat workshop audit internal dan keselamatan pasien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0</v>
          </cell>
          <cell r="L50" t="str">
            <v>Jumlah Puskesmsas yang mendapat workshop audit internal dan keselamatan pasien</v>
          </cell>
          <cell r="M50">
            <v>17</v>
          </cell>
          <cell r="N50">
            <v>0</v>
          </cell>
        </row>
        <row r="51">
          <cell r="B51">
            <v>0</v>
          </cell>
          <cell r="C51" t="str">
            <v>Jumlah puskesmas yang mendapatkan Pendampingan akreditasi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</v>
          </cell>
          <cell r="K51">
            <v>0</v>
          </cell>
          <cell r="L51" t="str">
            <v>Jumlah puskesmas yang mendapatkan Pendampingan akreditasi</v>
          </cell>
          <cell r="M51">
            <v>3</v>
          </cell>
          <cell r="N51">
            <v>0</v>
          </cell>
        </row>
        <row r="52">
          <cell r="B52">
            <v>0</v>
          </cell>
          <cell r="C52" t="str">
            <v>Jumlah puskesmas yang disurvey akreditasi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3</v>
          </cell>
          <cell r="K52">
            <v>0</v>
          </cell>
          <cell r="L52" t="str">
            <v>Jumlah puskesmas yang disurvey akreditasi</v>
          </cell>
          <cell r="M52">
            <v>3</v>
          </cell>
          <cell r="N52">
            <v>0</v>
          </cell>
        </row>
        <row r="53">
          <cell r="B53">
            <v>0</v>
          </cell>
          <cell r="C53" t="str">
            <v>Jumlah Puskesmas yang dibina untuk pelayanan darah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5</v>
          </cell>
          <cell r="K53">
            <v>0</v>
          </cell>
          <cell r="L53" t="str">
            <v>Jumlah Puskesmas yang dibina untuk pelayanan darah</v>
          </cell>
          <cell r="M53">
            <v>17</v>
          </cell>
          <cell r="N53">
            <v>0</v>
          </cell>
        </row>
        <row r="54">
          <cell r="B54">
            <v>0</v>
          </cell>
          <cell r="C54" t="str">
            <v>Jumlah laboratorium Puskesmas sesuai standar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3</v>
          </cell>
          <cell r="K54">
            <v>0</v>
          </cell>
          <cell r="L54" t="str">
            <v>Jumlah laboratorium Puskesmas sesuai standar</v>
          </cell>
          <cell r="M54">
            <v>3</v>
          </cell>
          <cell r="N54">
            <v>0</v>
          </cell>
        </row>
        <row r="55">
          <cell r="B55" t="str">
            <v>Kegiatan Peningkatan Standarisasi Pelayanan Kesehatan</v>
          </cell>
          <cell r="C55" t="str">
            <v>persentase FKTP yang memberikan pelayanan sesuai standar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>Penerbitan Izin Operasional Rumah Sakit (unit)</v>
          </cell>
          <cell r="M55">
            <v>0</v>
          </cell>
          <cell r="N55">
            <v>495748650</v>
          </cell>
        </row>
        <row r="56">
          <cell r="B56" t="str">
            <v>Program pengadaan, peningkatan dan perbaikan sarana dan prasarana puskesmas/ puskemas pembantu dan jaringannya</v>
          </cell>
          <cell r="C56" t="str">
            <v>Persentase kualitas sarana dan prasarana puskesmas dan jaringannya</v>
          </cell>
          <cell r="D56">
            <v>15</v>
          </cell>
          <cell r="E56">
            <v>0</v>
          </cell>
          <cell r="F56">
            <v>15</v>
          </cell>
          <cell r="G56">
            <v>23513084679</v>
          </cell>
          <cell r="H56">
            <v>0</v>
          </cell>
          <cell r="I56">
            <v>0</v>
          </cell>
          <cell r="J56">
            <v>0.8</v>
          </cell>
          <cell r="K56">
            <v>16019868600</v>
          </cell>
          <cell r="L56">
            <v>0</v>
          </cell>
          <cell r="M56" t="str">
            <v xml:space="preserve"> </v>
          </cell>
          <cell r="N56">
            <v>12150515734</v>
          </cell>
        </row>
        <row r="57">
          <cell r="B57" t="str">
            <v>Kegiatan Pembangunan Puskesmas</v>
          </cell>
          <cell r="C57" t="str">
            <v>Jumlah Puskesmas yang Terbangun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</v>
          </cell>
          <cell r="K57">
            <v>4708000000</v>
          </cell>
          <cell r="L57" t="str">
            <v>Jumlah Puskesmas yang Terbangun</v>
          </cell>
          <cell r="M57">
            <v>1</v>
          </cell>
          <cell r="N57">
            <v>2200935000</v>
          </cell>
        </row>
        <row r="58">
          <cell r="B58" t="str">
            <v>Kegiatan Pembangunan Puskesmas Pembantu</v>
          </cell>
          <cell r="C58" t="str">
            <v>Pembangunan Puskesmas Pembantu (pustu)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2</v>
          </cell>
          <cell r="K58">
            <v>990760100</v>
          </cell>
          <cell r="L58" t="str">
            <v>Jumlah puskesmas pembantu yang terbangun</v>
          </cell>
          <cell r="M58">
            <v>2</v>
          </cell>
          <cell r="N58">
            <v>948956000</v>
          </cell>
        </row>
        <row r="59">
          <cell r="B59" t="str">
            <v>KegiatanPengadaan Puskesmas Keliling</v>
          </cell>
          <cell r="C59" t="str">
            <v>Jumlah Puskesmas keliling yang diadakan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5</v>
          </cell>
          <cell r="K59">
            <v>2403800000</v>
          </cell>
          <cell r="L59" t="str">
            <v>Jumlah Puskesmas keliling yang diadakan</v>
          </cell>
          <cell r="M59">
            <v>3</v>
          </cell>
          <cell r="N59">
            <v>1440788250</v>
          </cell>
        </row>
        <row r="60">
          <cell r="B60" t="str">
            <v>Kegiatan Pengadaan Sarana dan Prasarana Puskesmas</v>
          </cell>
          <cell r="C60" t="str">
            <v>Jumlah sarana dan prasarana puskesmas yang diadakan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</v>
          </cell>
          <cell r="K60">
            <v>6611171000</v>
          </cell>
          <cell r="L60" t="str">
            <v>Persentase  Sarana dan prasarana yang diadakan di puskesmas</v>
          </cell>
          <cell r="M60">
            <v>1</v>
          </cell>
          <cell r="N60">
            <v>5939648984</v>
          </cell>
        </row>
        <row r="61">
          <cell r="B61" t="str">
            <v>Program kemitraan peningkatan pelayanan kesehatan</v>
          </cell>
          <cell r="C61" t="str">
            <v>Jumlah penduduk yang memiliki jaminan kesehatan</v>
          </cell>
          <cell r="D61">
            <v>150000</v>
          </cell>
          <cell r="E61">
            <v>0</v>
          </cell>
          <cell r="F61">
            <v>150000</v>
          </cell>
          <cell r="G61">
            <v>17723016700</v>
          </cell>
          <cell r="H61">
            <v>0</v>
          </cell>
          <cell r="I61">
            <v>0</v>
          </cell>
          <cell r="J61">
            <v>148736</v>
          </cell>
          <cell r="K61">
            <v>39730926000</v>
          </cell>
          <cell r="L61" t="str">
            <v xml:space="preserve">Jumlah penduduk yang memiliki jaminan kesehatan </v>
          </cell>
          <cell r="M61">
            <v>241000</v>
          </cell>
          <cell r="N61">
            <v>44455926000</v>
          </cell>
        </row>
        <row r="62">
          <cell r="B62" t="str">
            <v>Kegiatan Kemitraan Asuransi Kesehatan Masyarakat</v>
          </cell>
          <cell r="C62" t="str">
            <v>Jumlah penduduk yang memiliki Jaminan Kesehatan Nasional yang dibiayai oleh pemerintah Daerah kabupaten (jiwa)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87379</v>
          </cell>
          <cell r="K62">
            <v>39520926000</v>
          </cell>
          <cell r="L62" t="str">
            <v>Jumlah penduduk yang memiliki Jaminan Kesehatan Nasional yang dibiayai oleh pemerintah Daerah kabupaten (jiwa)</v>
          </cell>
          <cell r="M62">
            <v>87379</v>
          </cell>
          <cell r="N62">
            <v>44455926000</v>
          </cell>
        </row>
        <row r="63">
          <cell r="B63">
            <v>0</v>
          </cell>
          <cell r="C63" t="str">
            <v>Jumlah penduduk yang memiliki Jaminan Kesehatan Nasional yang dibiayai oleh pemerintah Daerah kabupaten dan propinsi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68736</v>
          </cell>
          <cell r="K63">
            <v>0</v>
          </cell>
          <cell r="L63" t="str">
            <v>Jumlah penduduk yang memiliki Jaminan Kesehatan Nasional yang dibiayai oleh pemerintah Daerah kabupaten dan propinsi</v>
          </cell>
          <cell r="M63">
            <v>68736</v>
          </cell>
          <cell r="N63">
            <v>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
prasarana rumah sakit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1300500000</v>
          </cell>
          <cell r="L64">
            <v>0</v>
          </cell>
          <cell r="M64">
            <v>0</v>
          </cell>
          <cell r="N64">
            <v>1300500000</v>
          </cell>
        </row>
        <row r="65">
          <cell r="B65" t="str">
            <v>Pembangunan Rumah Sakit</v>
          </cell>
          <cell r="C65" t="str">
            <v>Jumlah dokumen hasil studi
kelayakan pendirian rumah sakit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816000000</v>
          </cell>
          <cell r="L65">
            <v>0</v>
          </cell>
          <cell r="M65">
            <v>0</v>
          </cell>
          <cell r="N65">
            <v>816000000</v>
          </cell>
        </row>
        <row r="66">
          <cell r="B66" t="str">
            <v>DINAS PU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B67" t="str">
            <v>Program pembangunan jalan dan jembatan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112554092420</v>
          </cell>
          <cell r="L67">
            <v>0</v>
          </cell>
          <cell r="M67">
            <v>0</v>
          </cell>
          <cell r="N67">
            <v>140643327040.45999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Pembangunan Jalan</v>
          </cell>
          <cell r="C69" t="str">
            <v>Panjang Jalan yang dibangun (km)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69.45</v>
          </cell>
          <cell r="K69">
            <v>106392492420</v>
          </cell>
          <cell r="L69" t="str">
            <v>Panjang Jalan yang dibangun (km)</v>
          </cell>
          <cell r="M69">
            <v>69.45</v>
          </cell>
          <cell r="N69">
            <v>133517743045.06</v>
          </cell>
        </row>
        <row r="70">
          <cell r="B70" t="str">
            <v>Pembangunan Jembatan</v>
          </cell>
          <cell r="C70" t="str">
            <v>Tersedianya Jembatan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6161600000</v>
          </cell>
          <cell r="L70">
            <v>0</v>
          </cell>
          <cell r="M70">
            <v>0</v>
          </cell>
          <cell r="N70">
            <v>7125583995.3999996</v>
          </cell>
        </row>
        <row r="71">
          <cell r="B71" t="str">
            <v>Program Pengembangan dan Pengelolaan Jaringan Irigasi, Rawa dan Jaringan Pengairan lainnya</v>
          </cell>
          <cell r="C71">
            <v>0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H71">
            <v>0</v>
          </cell>
          <cell r="I71">
            <v>0</v>
          </cell>
          <cell r="J71">
            <v>0</v>
          </cell>
          <cell r="K71">
            <v>45879818000</v>
          </cell>
          <cell r="L71">
            <v>0</v>
          </cell>
          <cell r="M71">
            <v>0</v>
          </cell>
          <cell r="N71">
            <v>27553852866.650002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B73" t="str">
            <v xml:space="preserve">Kegiatan Pembangunan Jaringan Air Bersih/Air Minum </v>
          </cell>
          <cell r="C73" t="str">
            <v>Panjang Jaringan Air Bersih yang di bangun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str">
            <v>6 keg</v>
          </cell>
          <cell r="K73">
            <v>5382500000</v>
          </cell>
          <cell r="L73">
            <v>0</v>
          </cell>
          <cell r="M73">
            <v>0</v>
          </cell>
          <cell r="N73">
            <v>1788660315.9400001</v>
          </cell>
        </row>
        <row r="74">
          <cell r="B74" t="str">
            <v>Pembangunan Reservoir</v>
          </cell>
          <cell r="C74" t="str">
            <v>Jumlah IPA yang dibangun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3</v>
          </cell>
          <cell r="K74">
            <v>2866000000</v>
          </cell>
          <cell r="L74">
            <v>0</v>
          </cell>
          <cell r="M74">
            <v>0</v>
          </cell>
          <cell r="N74">
            <v>3267850000</v>
          </cell>
        </row>
        <row r="75">
          <cell r="B75" t="str">
            <v>Pembangunan Jaringan Irigasi</v>
          </cell>
          <cell r="C75" t="str">
            <v>Panjang Jaringan Yang Ditingkatkan (km)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20</v>
          </cell>
          <cell r="K75">
            <v>28893618000</v>
          </cell>
          <cell r="L75">
            <v>0</v>
          </cell>
          <cell r="M75">
            <v>0</v>
          </cell>
          <cell r="N75">
            <v>17328607655.709999</v>
          </cell>
        </row>
        <row r="76">
          <cell r="B76" t="str">
            <v>Pembangunan Bendung</v>
          </cell>
          <cell r="C76" t="str">
            <v>Jumlah Bendung yang Bangun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3</v>
          </cell>
          <cell r="K76">
            <v>5681000000</v>
          </cell>
          <cell r="L76">
            <v>0</v>
          </cell>
          <cell r="M76">
            <v>0</v>
          </cell>
          <cell r="N76">
            <v>1845661395</v>
          </cell>
        </row>
        <row r="77">
          <cell r="B77" t="str">
            <v>DINAS PERTANIAN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B78" t="str">
            <v>Program peningkatan produksi hasil peternakan</v>
          </cell>
          <cell r="C78" t="str">
            <v>Jumlah Populasi ternak Besar.
Jumlah Populasi ternak Kecil.
Jumlah Populasi Unggas</v>
          </cell>
          <cell r="D78" t="str">
            <v>- Jumlah populasi sapi = 14.010
- Jumlah populasi kambing = 10.326
- Jumlah populasi ayam = 382.503</v>
          </cell>
          <cell r="E78">
            <v>0</v>
          </cell>
          <cell r="F78" t="str">
            <v>- Jumlah populasi sapi = 15.021.000
- Jumlah populasi kambing = 13.454.000
- Jumlah populasi ayam = 1.446.811.000</v>
          </cell>
          <cell r="G78">
            <v>4714885000</v>
          </cell>
          <cell r="H78">
            <v>0</v>
          </cell>
          <cell r="I78">
            <v>0</v>
          </cell>
          <cell r="J78" t="str">
            <v>Ternak Besar = 17818 ekor
Ternak Kecil = 31.27 ekor
Unggas = 462.767 ekor</v>
          </cell>
          <cell r="K78">
            <v>3363726000</v>
          </cell>
          <cell r="L78">
            <v>0</v>
          </cell>
          <cell r="M78">
            <v>0</v>
          </cell>
          <cell r="N78">
            <v>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500</v>
          </cell>
          <cell r="K79">
            <v>3274000000</v>
          </cell>
          <cell r="L79">
            <v>0</v>
          </cell>
          <cell r="M79">
            <v>0</v>
          </cell>
          <cell r="N79">
            <v>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
dibangun/direhab. Panjang
Jalan Usaha Tani/ Jalan Produksi yang dibentuk/ditingkatkan</v>
          </cell>
          <cell r="D80" t="str">
            <v>1,49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Alsintan=300
Unit. Jides=10
Km.Luas cetak
sawah baru = 0 Ha</v>
          </cell>
          <cell r="K80">
            <v>19453303350</v>
          </cell>
          <cell r="L80">
            <v>0</v>
          </cell>
          <cell r="M80">
            <v>0</v>
          </cell>
          <cell r="N80">
            <v>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6</v>
          </cell>
          <cell r="K81">
            <v>9522189700</v>
          </cell>
          <cell r="L81">
            <v>0</v>
          </cell>
          <cell r="M81">
            <v>0</v>
          </cell>
          <cell r="N81">
            <v>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200</v>
          </cell>
          <cell r="K82">
            <v>2863900000</v>
          </cell>
          <cell r="L82">
            <v>0</v>
          </cell>
          <cell r="M82">
            <v>0</v>
          </cell>
          <cell r="N82">
            <v>0</v>
          </cell>
        </row>
        <row r="83">
          <cell r="B83" t="str">
            <v>Kegiatan Pembangunan Dan Peningkatan Jalan Usaha Tani</v>
          </cell>
          <cell r="C83" t="str">
            <v>Panjang Jalan Usaha Tani yang
dibangun/ditingkatkan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25</v>
          </cell>
          <cell r="K83">
            <v>3803413150</v>
          </cell>
          <cell r="L83">
            <v>0</v>
          </cell>
          <cell r="M83">
            <v>0</v>
          </cell>
          <cell r="N83">
            <v>0</v>
          </cell>
        </row>
        <row r="84">
          <cell r="B84" t="str">
            <v>Kegiatan Pembangunan Dan Peningkatan Jalan Produksi</v>
          </cell>
          <cell r="C84" t="str">
            <v>Panjang jalan Produksi yang
dibangun/ditingkatkan (km)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12</v>
          </cell>
          <cell r="K84">
            <v>2189500000</v>
          </cell>
          <cell r="L84">
            <v>0</v>
          </cell>
          <cell r="M84">
            <v>0</v>
          </cell>
          <cell r="N84">
            <v>0</v>
          </cell>
        </row>
        <row r="85">
          <cell r="B85" t="str">
            <v>Program Peningkatan Produksi Tanaman Perkebunan</v>
          </cell>
          <cell r="C85" t="str">
            <v>Jumlah Produksi Lada (ton)
Jumlah Produksi Kakao (ton)
Jumlah Produksi Kelapa Sawit (ton)</v>
          </cell>
          <cell r="D85" t="str">
            <v>3854
12400
245630</v>
          </cell>
          <cell r="E85">
            <v>0</v>
          </cell>
          <cell r="F85" t="str">
            <v>4.094.000
13.597.000
258.364.000</v>
          </cell>
          <cell r="G85">
            <v>518827500</v>
          </cell>
          <cell r="H85">
            <v>0</v>
          </cell>
          <cell r="I85">
            <v>0</v>
          </cell>
          <cell r="J85" t="str">
            <v>4.301
16.147
285.102</v>
          </cell>
          <cell r="K85">
            <v>5326616250</v>
          </cell>
          <cell r="L85">
            <v>0</v>
          </cell>
          <cell r="M85">
            <v>0</v>
          </cell>
          <cell r="N85">
            <v>0</v>
          </cell>
        </row>
        <row r="86">
          <cell r="B86" t="str">
            <v>Kegiatan Ekstensifikasi, Intensifikasi Dan Peremajaan
Tanaman Kakao</v>
          </cell>
          <cell r="C86" t="str">
            <v>Jumlah Luasan Tanaman Kakao
yang diidentifikasikan /direhabilitasi/diremajakan (Ha)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2000</v>
          </cell>
          <cell r="K86">
            <v>4258101250</v>
          </cell>
          <cell r="L86">
            <v>0</v>
          </cell>
          <cell r="M86">
            <v>0</v>
          </cell>
          <cell r="N86">
            <v>0</v>
          </cell>
        </row>
        <row r="87">
          <cell r="B87" t="str">
            <v>DINAS KELAUTAN DAN PERIKANAN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B88" t="str">
            <v>Program Pengembangan Budidaya Perikanan</v>
          </cell>
          <cell r="C88" t="str">
            <v>Jumlah produksi
Perikanan Budidaya (ton)</v>
          </cell>
          <cell r="D88">
            <v>42922</v>
          </cell>
          <cell r="E88">
            <v>0</v>
          </cell>
          <cell r="F88">
            <v>44210000</v>
          </cell>
          <cell r="G88">
            <v>1657296400</v>
          </cell>
          <cell r="H88">
            <v>0</v>
          </cell>
          <cell r="I88">
            <v>0</v>
          </cell>
          <cell r="J88">
            <v>45497</v>
          </cell>
          <cell r="K88">
            <v>5734924650</v>
          </cell>
          <cell r="L88">
            <v>0</v>
          </cell>
          <cell r="M88">
            <v>45497</v>
          </cell>
        </row>
        <row r="89">
          <cell r="B89" t="str">
            <v>Kegiatan Pembangunan Jalan Produksi Tambak</v>
          </cell>
          <cell r="C89" t="str">
            <v>Jumlah jalan produksi tambak
yang dibangun (km)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25</v>
          </cell>
          <cell r="K89">
            <v>1569230000</v>
          </cell>
          <cell r="L89">
            <v>0</v>
          </cell>
          <cell r="M89">
            <v>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
dibangun (unit)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1757140000</v>
          </cell>
          <cell r="L90">
            <v>0</v>
          </cell>
          <cell r="M90">
            <v>5</v>
          </cell>
        </row>
        <row r="91">
          <cell r="B91" t="str">
            <v>Kegiatan Pembangunan/Rehabilitasi  Sarana Prasarana
Budidaya</v>
          </cell>
          <cell r="C91" t="str">
            <v>Jumlah Balai Benih Ikan yang
direhab/dibangun (unit/paket)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</v>
          </cell>
          <cell r="K91">
            <v>1719889650</v>
          </cell>
          <cell r="L91">
            <v>0</v>
          </cell>
          <cell r="M91">
            <v>1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E92">
            <v>0</v>
          </cell>
          <cell r="F92">
            <v>8702300</v>
          </cell>
          <cell r="G92">
            <v>7416554300</v>
          </cell>
          <cell r="H92">
            <v>0</v>
          </cell>
          <cell r="I92">
            <v>0</v>
          </cell>
          <cell r="J92">
            <v>8745.59</v>
          </cell>
          <cell r="K92">
            <v>9378642325</v>
          </cell>
          <cell r="L92">
            <v>0</v>
          </cell>
          <cell r="M92">
            <v>0</v>
          </cell>
        </row>
        <row r="93">
          <cell r="B93" t="str">
            <v>Kegiatan Pembangunan Tempat Pelelangan Ikan</v>
          </cell>
          <cell r="C93" t="str">
            <v>Jumlah Tambatan,TPI,fasilitas
pokok dan penunjang PPI yang
dibangun,direhab (Unit)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6026577325</v>
          </cell>
          <cell r="L93">
            <v>0</v>
          </cell>
          <cell r="M93">
            <v>1</v>
          </cell>
        </row>
        <row r="94">
          <cell r="B94" t="str">
            <v>Kegiatan Pegembangan Sarana Prasarana Penangkapan Ikan</v>
          </cell>
          <cell r="C94" t="str">
            <v>Jumlah Bantuan Mesin
Ketinting/Mesin tempel yang diadakan (Unit)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40</v>
          </cell>
          <cell r="K94">
            <v>2389275000</v>
          </cell>
          <cell r="L94">
            <v>0</v>
          </cell>
          <cell r="M94">
            <v>40</v>
          </cell>
        </row>
        <row r="95">
          <cell r="B95" t="str">
            <v>Kegiatan Pembangunan/Penerapan Teknologi Perikanan
Tangkap</v>
          </cell>
          <cell r="C95" t="str">
            <v>Jumlah apartemen ikan yang
diadakan (Unit)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2</v>
          </cell>
          <cell r="K95">
            <v>889000000</v>
          </cell>
          <cell r="L95">
            <v>0</v>
          </cell>
          <cell r="M95">
            <v>2</v>
          </cell>
        </row>
        <row r="96">
          <cell r="B96" t="str">
            <v>Program Optimalisasi pengelolaan dan pemasaran produksi perikanan</v>
          </cell>
          <cell r="C96" t="str">
            <v>Jumlah produksi
Pengolahan
ikan  (ton)</v>
          </cell>
          <cell r="D96">
            <v>302.39999999999998</v>
          </cell>
          <cell r="E96">
            <v>0</v>
          </cell>
          <cell r="F96">
            <v>303750</v>
          </cell>
          <cell r="G96">
            <v>1482852500</v>
          </cell>
          <cell r="H96">
            <v>0</v>
          </cell>
          <cell r="I96">
            <v>0</v>
          </cell>
          <cell r="J96">
            <v>305.27</v>
          </cell>
          <cell r="K96">
            <v>1919115000</v>
          </cell>
          <cell r="L96">
            <v>0</v>
          </cell>
          <cell r="M96">
            <v>305.27</v>
          </cell>
        </row>
        <row r="97">
          <cell r="B97" t="str">
            <v>Kegiatan Optimalisasi Pengelolaan Dan Pemasaran Hasil
Perikanan</v>
          </cell>
          <cell r="C97" t="str">
            <v>Jumlah Sarana prasarana pokok
dan Pendukung Industri perikanan yang dibangun/direhab/diadakan (Unit)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20</v>
          </cell>
          <cell r="K97">
            <v>1426630000</v>
          </cell>
          <cell r="L97">
            <v>0</v>
          </cell>
          <cell r="M97">
            <v>20</v>
          </cell>
        </row>
        <row r="98">
          <cell r="B98" t="str">
            <v>DPMPTSP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B99" t="str">
            <v>Program Peningkatan Promosi dan Kerjasama Investasi</v>
          </cell>
          <cell r="C99" t="str">
            <v>- persentase jumlah promosi yang dilaksanakan
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H99">
            <v>0</v>
          </cell>
          <cell r="I99">
            <v>0</v>
          </cell>
          <cell r="J99" t="str">
            <v>n/a</v>
          </cell>
          <cell r="K99">
            <v>543029000</v>
          </cell>
          <cell r="L99">
            <v>0</v>
          </cell>
          <cell r="M99">
            <v>557902300</v>
          </cell>
        </row>
        <row r="100">
          <cell r="B100" t="str">
            <v>Kegiatan Penyelenggaraan Pameran Investasi</v>
          </cell>
          <cell r="C100" t="str">
            <v>Jumlah keikutsertaan pameran
investasi tingkat propinsi
regional dan nasional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 t="str">
            <v>n/a</v>
          </cell>
          <cell r="K100">
            <v>331030000</v>
          </cell>
          <cell r="L100">
            <v>0</v>
          </cell>
          <cell r="M100">
            <v>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H101">
            <v>0</v>
          </cell>
          <cell r="I101">
            <v>0</v>
          </cell>
          <cell r="J101" t="str">
            <v>n/a</v>
          </cell>
          <cell r="K101">
            <v>237077000</v>
          </cell>
          <cell r="L101">
            <v>0</v>
          </cell>
          <cell r="M101">
            <v>519097000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 t="str">
            <v>n/a</v>
          </cell>
          <cell r="K102">
            <v>73879000</v>
          </cell>
          <cell r="L102">
            <v>0</v>
          </cell>
          <cell r="M102">
            <v>0</v>
          </cell>
        </row>
        <row r="103">
          <cell r="B103" t="str">
            <v>Penyusunan Cetak Biru (Master Plan) Pengembangan Penanaman Modal</v>
          </cell>
          <cell r="C103" t="str">
            <v>Database bidang penanaman
modal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 t="str">
            <v>n/a</v>
          </cell>
          <cell r="K103">
            <v>84596000</v>
          </cell>
          <cell r="L103">
            <v>0</v>
          </cell>
          <cell r="M103">
            <v>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H104">
            <v>0</v>
          </cell>
          <cell r="I104">
            <v>0</v>
          </cell>
          <cell r="J104" t="str">
            <v>n/a</v>
          </cell>
          <cell r="K104">
            <v>0</v>
          </cell>
          <cell r="L104">
            <v>0</v>
          </cell>
          <cell r="M104">
            <v>0</v>
          </cell>
        </row>
      </sheetData>
      <sheetData sheetId="5"/>
      <sheetData sheetId="6"/>
      <sheetData sheetId="7">
        <row r="3">
          <cell r="B3" t="str">
            <v>DINAS PENDIDIKAN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 t="str">
            <v>Target</v>
          </cell>
          <cell r="K3" t="str">
            <v>Anggaran</v>
          </cell>
        </row>
        <row r="4">
          <cell r="B4" t="str">
            <v>Program Pendidikan Anak Usia Dini</v>
          </cell>
          <cell r="C4" t="str">
            <v>APK PAUD formal dan Non
Formal</v>
          </cell>
          <cell r="D4">
            <v>0</v>
          </cell>
          <cell r="E4">
            <v>0</v>
          </cell>
          <cell r="F4">
            <v>0</v>
          </cell>
          <cell r="G4">
            <v>1559495000</v>
          </cell>
          <cell r="H4">
            <v>0</v>
          </cell>
          <cell r="I4">
            <v>0</v>
          </cell>
          <cell r="J4">
            <v>0.49</v>
          </cell>
          <cell r="K4">
            <v>3575607600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8</v>
          </cell>
          <cell r="K5">
            <v>1667125000</v>
          </cell>
        </row>
        <row r="6">
          <cell r="B6" t="str">
            <v>Kegiatan Penyelenggaraan Pendidikan Anak Usia Dini</v>
          </cell>
          <cell r="C6" t="str">
            <v>Jumlah TK yang mendapatkan
pelayanan PAUD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11</v>
          </cell>
          <cell r="K6">
            <v>607875000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19866600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E8">
            <v>0</v>
          </cell>
          <cell r="F8">
            <v>84</v>
          </cell>
          <cell r="G8">
            <v>88822422831</v>
          </cell>
          <cell r="H8">
            <v>0</v>
          </cell>
          <cell r="I8">
            <v>0</v>
          </cell>
          <cell r="J8">
            <v>99.44</v>
          </cell>
          <cell r="K8">
            <v>96542666148</v>
          </cell>
        </row>
        <row r="9">
          <cell r="B9">
            <v>0</v>
          </cell>
          <cell r="C9" t="str">
            <v>AK SMP</v>
          </cell>
          <cell r="D9">
            <v>20</v>
          </cell>
          <cell r="E9">
            <v>0</v>
          </cell>
          <cell r="F9">
            <v>20</v>
          </cell>
          <cell r="G9">
            <v>0</v>
          </cell>
          <cell r="H9">
            <v>0</v>
          </cell>
          <cell r="I9">
            <v>0</v>
          </cell>
          <cell r="J9">
            <v>98.87</v>
          </cell>
          <cell r="K9">
            <v>0</v>
          </cell>
        </row>
        <row r="10">
          <cell r="B10">
            <v>0</v>
          </cell>
          <cell r="C10" t="str">
            <v>AM SD</v>
          </cell>
          <cell r="D10">
            <v>122</v>
          </cell>
          <cell r="E10">
            <v>0</v>
          </cell>
          <cell r="F10">
            <v>135</v>
          </cell>
          <cell r="G10">
            <v>0</v>
          </cell>
          <cell r="H10">
            <v>0</v>
          </cell>
          <cell r="I10">
            <v>0</v>
          </cell>
          <cell r="J10">
            <v>90.22</v>
          </cell>
          <cell r="K10">
            <v>0</v>
          </cell>
        </row>
        <row r="11">
          <cell r="B11">
            <v>0</v>
          </cell>
          <cell r="C11" t="str">
            <v>AM SMP</v>
          </cell>
          <cell r="D11">
            <v>51.98</v>
          </cell>
          <cell r="E11">
            <v>0</v>
          </cell>
          <cell r="F11">
            <v>51.98</v>
          </cell>
          <cell r="G11">
            <v>0</v>
          </cell>
          <cell r="H11">
            <v>0</v>
          </cell>
          <cell r="I11">
            <v>0</v>
          </cell>
          <cell r="J11">
            <v>93.54</v>
          </cell>
          <cell r="K11">
            <v>0</v>
          </cell>
        </row>
        <row r="12">
          <cell r="B12">
            <v>0</v>
          </cell>
          <cell r="C12" t="str">
            <v>APK SD</v>
          </cell>
          <cell r="D12">
            <v>50</v>
          </cell>
          <cell r="E12">
            <v>0</v>
          </cell>
          <cell r="F12">
            <v>50</v>
          </cell>
          <cell r="G12">
            <v>0</v>
          </cell>
          <cell r="H12">
            <v>0</v>
          </cell>
          <cell r="I12">
            <v>0</v>
          </cell>
          <cell r="J12">
            <v>108.6</v>
          </cell>
          <cell r="K12">
            <v>0</v>
          </cell>
        </row>
        <row r="13">
          <cell r="B13">
            <v>0</v>
          </cell>
          <cell r="C13" t="str">
            <v>APK SMP</v>
          </cell>
          <cell r="D13">
            <v>50</v>
          </cell>
          <cell r="E13">
            <v>0</v>
          </cell>
          <cell r="F13">
            <v>50</v>
          </cell>
          <cell r="G13">
            <v>0</v>
          </cell>
          <cell r="H13">
            <v>0</v>
          </cell>
          <cell r="I13">
            <v>0</v>
          </cell>
          <cell r="J13">
            <v>104.03</v>
          </cell>
          <cell r="K13">
            <v>0</v>
          </cell>
        </row>
        <row r="14">
          <cell r="B14">
            <v>0</v>
          </cell>
          <cell r="C14" t="str">
            <v>APM SD</v>
          </cell>
          <cell r="D14">
            <v>41.85</v>
          </cell>
          <cell r="E14">
            <v>0</v>
          </cell>
          <cell r="F14">
            <v>42.3</v>
          </cell>
          <cell r="G14">
            <v>0</v>
          </cell>
          <cell r="H14">
            <v>0</v>
          </cell>
          <cell r="I14">
            <v>0</v>
          </cell>
          <cell r="J14">
            <v>99.1</v>
          </cell>
          <cell r="K14">
            <v>0</v>
          </cell>
        </row>
        <row r="15">
          <cell r="B15">
            <v>0</v>
          </cell>
          <cell r="C15" t="str">
            <v>APM SMP</v>
          </cell>
          <cell r="D15">
            <v>70</v>
          </cell>
          <cell r="E15">
            <v>0</v>
          </cell>
          <cell r="F15">
            <v>70</v>
          </cell>
          <cell r="G15">
            <v>0</v>
          </cell>
          <cell r="H15">
            <v>0</v>
          </cell>
          <cell r="I15">
            <v>0</v>
          </cell>
          <cell r="J15">
            <v>81.34</v>
          </cell>
          <cell r="K15">
            <v>0</v>
          </cell>
        </row>
        <row r="16">
          <cell r="B16">
            <v>0</v>
          </cell>
          <cell r="C16" t="str">
            <v>APS 7-12 thn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95.22</v>
          </cell>
          <cell r="K16">
            <v>0</v>
          </cell>
        </row>
        <row r="17">
          <cell r="B17">
            <v>0</v>
          </cell>
          <cell r="C17" t="str">
            <v>APS 13-15 thn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96.44</v>
          </cell>
          <cell r="K17">
            <v>0</v>
          </cell>
        </row>
        <row r="18">
          <cell r="B18">
            <v>0</v>
          </cell>
          <cell r="C18" t="str">
            <v>APtS SD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0.23</v>
          </cell>
          <cell r="K18">
            <v>0</v>
          </cell>
        </row>
        <row r="19">
          <cell r="B19">
            <v>0</v>
          </cell>
          <cell r="C19" t="str">
            <v>APtS SMP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0.39</v>
          </cell>
          <cell r="K19">
            <v>0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51</v>
          </cell>
          <cell r="K20">
            <v>15167388269</v>
          </cell>
        </row>
        <row r="21">
          <cell r="B21">
            <v>0</v>
          </cell>
          <cell r="C21" t="str">
            <v>Jumlah RKB SMP yang dibangun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22</v>
          </cell>
          <cell r="K21">
            <v>0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36436064000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3000</v>
          </cell>
          <cell r="K23">
            <v>6169343669</v>
          </cell>
        </row>
        <row r="24">
          <cell r="B24">
            <v>0</v>
          </cell>
          <cell r="C24" t="str">
            <v>Kegiatan Panjang  pagar SMP yang dibangun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1000</v>
          </cell>
          <cell r="K24">
            <v>0</v>
          </cell>
        </row>
        <row r="25">
          <cell r="B25" t="str">
            <v>Kegiatan Pelayanan Pendidikan Gratis</v>
          </cell>
          <cell r="C25" t="str">
            <v>Jumlah sekolah yang menerima
Dana Operasional Pendidikan
Gratis SD sederajat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211</v>
          </cell>
          <cell r="K25">
            <v>10598605800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0</v>
          </cell>
          <cell r="G26">
            <v>1013632500</v>
          </cell>
          <cell r="H26">
            <v>0</v>
          </cell>
          <cell r="I26">
            <v>0</v>
          </cell>
          <cell r="J26">
            <v>97.33</v>
          </cell>
          <cell r="K26">
            <v>861962500</v>
          </cell>
        </row>
        <row r="27">
          <cell r="B27" t="str">
            <v>Kegiatan Pemberian Bantuan Operasional Pendidikan Non
Formal</v>
          </cell>
          <cell r="C27" t="str">
            <v>Jumlah waraga belajar kejar pakat A,B dan C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Paket A=40 org,
Pakt B 100 org,
Paket C 125 org</v>
          </cell>
          <cell r="K27">
            <v>395500000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225</v>
          </cell>
          <cell r="K28">
            <v>197902500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672081000</v>
          </cell>
          <cell r="H29">
            <v>0</v>
          </cell>
          <cell r="I29">
            <v>0</v>
          </cell>
          <cell r="J29">
            <v>0</v>
          </cell>
          <cell r="K29">
            <v>751749000</v>
          </cell>
        </row>
        <row r="30">
          <cell r="B30">
            <v>0</v>
          </cell>
          <cell r="C30" t="str">
            <v>Guru bersertifikat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73</v>
          </cell>
          <cell r="K30">
            <v>0</v>
          </cell>
        </row>
        <row r="31">
          <cell r="B31">
            <v>0</v>
          </cell>
          <cell r="C31" t="str">
            <v>Guru berkualifikasi S-1/D-IV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89</v>
          </cell>
          <cell r="K31">
            <v>0</v>
          </cell>
        </row>
        <row r="32">
          <cell r="B32">
            <v>0</v>
          </cell>
          <cell r="C32" t="str">
            <v>Rasio guru:murid SD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32</v>
          </cell>
          <cell r="K32">
            <v>0</v>
          </cell>
        </row>
        <row r="33">
          <cell r="B33">
            <v>0</v>
          </cell>
          <cell r="C33" t="str">
            <v>Rasio guru:murid SMP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36</v>
          </cell>
          <cell r="K33">
            <v>0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206</v>
          </cell>
          <cell r="K34">
            <v>90370000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362</v>
          </cell>
          <cell r="K35">
            <v>132548000</v>
          </cell>
        </row>
        <row r="36">
          <cell r="B36" t="str">
            <v>Kegiatan Pembinaan kelompok kerja guru</v>
          </cell>
          <cell r="C36" t="str">
            <v>Jumlah guru pemandu tiap mata pelajaran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362</v>
          </cell>
          <cell r="K36">
            <v>132498000</v>
          </cell>
        </row>
        <row r="37">
          <cell r="B37" t="str">
            <v>Pengembangan Sistem Penghargaan Dan Perlindungan Terhadap Profesi Pendidik</v>
          </cell>
          <cell r="C37" t="str">
            <v>Jumlah guru mengikuti lomba guru berprestasi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256</v>
          </cell>
          <cell r="K37">
            <v>119637000</v>
          </cell>
        </row>
        <row r="38">
          <cell r="B38" t="str">
            <v>Pembinaan Musyawarah Guru Mata Pelajaran</v>
          </cell>
          <cell r="C38" t="str">
            <v>Jumlah guru mata pelajaran yang bermusyawarah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585</v>
          </cell>
          <cell r="K38">
            <v>138715000</v>
          </cell>
        </row>
        <row r="39">
          <cell r="B39" t="str">
            <v>Program Manajemen Pelayanan Pendidikan</v>
          </cell>
          <cell r="C39" t="str">
            <v>Persentase angka partisipasi pendidikan tinggi</v>
          </cell>
          <cell r="D39">
            <v>0</v>
          </cell>
          <cell r="E39">
            <v>0</v>
          </cell>
          <cell r="F39">
            <v>0</v>
          </cell>
          <cell r="G39">
            <v>19982650000</v>
          </cell>
          <cell r="H39">
            <v>0</v>
          </cell>
          <cell r="I39">
            <v>0</v>
          </cell>
          <cell r="J39">
            <v>0.2</v>
          </cell>
          <cell r="K39">
            <v>16324360500</v>
          </cell>
        </row>
        <row r="40">
          <cell r="B40" t="str">
            <v>Kegiatan Pelaksanaan Kerjasama Secara Kelembagaan Di
Bidang Pendidikan</v>
          </cell>
          <cell r="C40" t="str">
            <v>Jumlah mahasiswa menerima bantuan pendidikan tinggi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3875</v>
          </cell>
          <cell r="K40">
            <v>15678905000</v>
          </cell>
        </row>
        <row r="41">
          <cell r="B41" t="str">
            <v>Kegiatan Pembinaan Dewan Pendidikan</v>
          </cell>
          <cell r="C41" t="str">
            <v>Jumlah program dewan pendidikan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410187500</v>
          </cell>
        </row>
        <row r="42">
          <cell r="B42" t="str">
            <v>Penyediaan Jasa Guru PTT dan Guru Kontrak  (Berdasarkan UU ASN berubah nama menjadi P3K)</v>
          </cell>
          <cell r="C42" t="str">
            <v>Jumlah Guru Non PNS Upahjasa daerah terpencil dan guru agama menerima Insentif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 t="str">
            <v>Upah jasa Tenaga Kependiikan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89</v>
          </cell>
          <cell r="K43">
            <v>0</v>
          </cell>
        </row>
        <row r="44">
          <cell r="B44">
            <v>0</v>
          </cell>
          <cell r="C44" t="str">
            <v>Upah jasa  guru daerah terpencil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146</v>
          </cell>
          <cell r="K44">
            <v>0</v>
          </cell>
        </row>
        <row r="45">
          <cell r="B45">
            <v>0</v>
          </cell>
          <cell r="C45" t="str">
            <v>Upah jasa guru agama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52</v>
          </cell>
          <cell r="K45">
            <v>0</v>
          </cell>
        </row>
        <row r="46">
          <cell r="B46">
            <v>0</v>
          </cell>
          <cell r="C46" t="str">
            <v>Honor daerah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B47" t="str">
            <v>DINAS KESEHATAN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B48" t="str">
            <v>Program Standarisasi Pelayanan Kesehatan</v>
          </cell>
          <cell r="C48" t="str">
            <v>Peningkatan Pelayanan Standarisasi Kesehatan</v>
          </cell>
          <cell r="D48" t="str">
            <v>- 7
- 50</v>
          </cell>
          <cell r="E48">
            <v>0</v>
          </cell>
          <cell r="F48" t="str">
            <v>- 7
- 50</v>
          </cell>
          <cell r="G48">
            <v>13049940580</v>
          </cell>
          <cell r="H48">
            <v>0</v>
          </cell>
          <cell r="I48">
            <v>0</v>
          </cell>
          <cell r="J48">
            <v>0</v>
          </cell>
          <cell r="K48">
            <v>13899362040</v>
          </cell>
        </row>
        <row r="49">
          <cell r="B49" t="str">
            <v>Kegiatan Evaluasi Dan Pengembangan Standar Pelayanan
Kesehatan</v>
          </cell>
          <cell r="C49" t="str">
            <v>Terlaksananya klaim Dana Kapitasi JKN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1</v>
          </cell>
          <cell r="K49">
            <v>12361681540</v>
          </cell>
        </row>
        <row r="50">
          <cell r="B50" t="str">
            <v xml:space="preserve">Kegiatan Peningkatan Kualitas Pelayanan Kesehatan </v>
          </cell>
          <cell r="C50" t="str">
            <v>Jumlah Puskesmas yang terakreditasi (PKM)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3</v>
          </cell>
          <cell r="K50">
            <v>1274316000</v>
          </cell>
        </row>
        <row r="51">
          <cell r="B51">
            <v>0</v>
          </cell>
          <cell r="C51" t="str">
            <v>Pembinaan SP2TP (PKM)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17</v>
          </cell>
          <cell r="K51">
            <v>0</v>
          </cell>
        </row>
        <row r="52">
          <cell r="B52">
            <v>0</v>
          </cell>
          <cell r="C52" t="str">
            <v>Pembinaan Manajemen Puskesmas (PKM)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17</v>
          </cell>
          <cell r="K52">
            <v>0</v>
          </cell>
        </row>
        <row r="53">
          <cell r="B53">
            <v>0</v>
          </cell>
          <cell r="C53" t="str">
            <v>Pembinaan tenaga teladan (PKM)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17</v>
          </cell>
          <cell r="K53">
            <v>0</v>
          </cell>
        </row>
        <row r="54">
          <cell r="B54">
            <v>0</v>
          </cell>
          <cell r="C54" t="str">
            <v>Penilaian tenaga teladan (PKM)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17</v>
          </cell>
          <cell r="K54">
            <v>0</v>
          </cell>
        </row>
        <row r="55">
          <cell r="B55">
            <v>0</v>
          </cell>
          <cell r="C55" t="str">
            <v>Penyusunan makalah tenaga 
kesehatan (PKM)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17</v>
          </cell>
          <cell r="K55">
            <v>0</v>
          </cell>
        </row>
        <row r="56">
          <cell r="B56" t="str">
            <v>Kegiatan Peningkatan Standarisasi Pelayanan Kesehatan</v>
          </cell>
          <cell r="C56" t="str">
            <v>Jumlah masyarakat yang mendapatkan pelayanan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1033891500</v>
          </cell>
        </row>
        <row r="57">
          <cell r="B57" t="str">
            <v>Program pengadaan, peningkatan dan perbaikan sarana dan prasarana puskesmas/ puskemas pembantu dan jaringannya</v>
          </cell>
          <cell r="C57" t="str">
            <v>Peningkatan dan Perbaikan Sarana dan Prasarana Puskesmas/Puskesmas Pembantu dan Jaringannya</v>
          </cell>
          <cell r="D57">
            <v>15</v>
          </cell>
          <cell r="E57">
            <v>0</v>
          </cell>
          <cell r="F57">
            <v>15</v>
          </cell>
          <cell r="G57">
            <v>23513084679</v>
          </cell>
          <cell r="H57">
            <v>0</v>
          </cell>
          <cell r="I57">
            <v>0</v>
          </cell>
          <cell r="J57">
            <v>17</v>
          </cell>
          <cell r="K57">
            <v>16019868600</v>
          </cell>
        </row>
        <row r="58">
          <cell r="B58" t="str">
            <v>Kegiatan Pembangunan Puskesmas</v>
          </cell>
          <cell r="C58" t="str">
            <v>Jumlah Puskesmas yang Terbangun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4708000000</v>
          </cell>
        </row>
        <row r="59">
          <cell r="B59" t="str">
            <v>Kegiatan Pembangunan Puskesmas Pembantu</v>
          </cell>
          <cell r="C59" t="str">
            <v>Pembangunan Puskesmas Pembantu (pustu)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990760100</v>
          </cell>
        </row>
        <row r="60">
          <cell r="B60" t="str">
            <v>KegiatanPengadaan Puskesmas Keliling</v>
          </cell>
          <cell r="C60" t="str">
            <v>Jumlah Puskesmas keliling yang diadakan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2403800000</v>
          </cell>
        </row>
        <row r="61">
          <cell r="B61" t="str">
            <v>Kegiatan Pengadaan Sarana dan Prasarana Puskesmas</v>
          </cell>
          <cell r="C61" t="str">
            <v>Jumlah sarana dan prasarana puskesmas yang diadakan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10</v>
          </cell>
          <cell r="K61">
            <v>6611171000</v>
          </cell>
        </row>
        <row r="62">
          <cell r="B62" t="str">
            <v>Program kemitraan peningkatan pelayanan kesehatan</v>
          </cell>
          <cell r="C62" t="str">
            <v>Peningkatan pelayanan
kesehatan</v>
          </cell>
          <cell r="D62">
            <v>150000</v>
          </cell>
          <cell r="E62">
            <v>0</v>
          </cell>
          <cell r="F62">
            <v>150000</v>
          </cell>
          <cell r="G62">
            <v>17723016700</v>
          </cell>
          <cell r="H62">
            <v>0</v>
          </cell>
          <cell r="I62">
            <v>0</v>
          </cell>
          <cell r="J62">
            <v>0</v>
          </cell>
          <cell r="K62">
            <v>39730926000</v>
          </cell>
        </row>
        <row r="63">
          <cell r="B63" t="str">
            <v>Kegiatan Kemitraan Asuransi Kesehatan Masyarakat</v>
          </cell>
          <cell r="C63" t="str">
            <v>Jumlah Penduduk yang belum memiliki Jaminan Kesehatan (jiwa)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68736</v>
          </cell>
          <cell r="K63">
            <v>39520926000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
prasarana rumah sakit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1300500000</v>
          </cell>
        </row>
        <row r="65">
          <cell r="B65" t="str">
            <v>Pembangunan Rumah Sakit</v>
          </cell>
          <cell r="C65" t="str">
            <v>Jumlah dokumen hasil studi
kelayakan pendirian rumah sakit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816000000</v>
          </cell>
        </row>
        <row r="66">
          <cell r="B66" t="str">
            <v>DINAS PU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B67" t="str">
            <v>Program pembangunan jalan dan jembatan</v>
          </cell>
          <cell r="C67" t="str">
            <v>Jumlah jembatan dalam kondisi baik (unit)</v>
          </cell>
          <cell r="D67">
            <v>163</v>
          </cell>
          <cell r="E67">
            <v>202114968693</v>
          </cell>
          <cell r="F67">
            <v>173</v>
          </cell>
          <cell r="G67">
            <v>177466055509</v>
          </cell>
          <cell r="H67">
            <v>0</v>
          </cell>
          <cell r="I67">
            <v>0</v>
          </cell>
          <cell r="J67">
            <v>0</v>
          </cell>
          <cell r="K67">
            <v>112554092420</v>
          </cell>
        </row>
        <row r="68">
          <cell r="B68">
            <v>0</v>
          </cell>
          <cell r="C68" t="str">
            <v>Proporsi panjang jaringan jalan dalam kondisi baik (km)</v>
          </cell>
          <cell r="D68">
            <v>1329.79</v>
          </cell>
          <cell r="E68">
            <v>0</v>
          </cell>
          <cell r="F68">
            <v>1396.28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B69" t="str">
            <v>Pembangunan Jalan</v>
          </cell>
          <cell r="C69" t="str">
            <v>Panjang Jalan ditingkatkan -
Aspal  (Km)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28.5</v>
          </cell>
          <cell r="K69">
            <v>106392492420</v>
          </cell>
        </row>
        <row r="70">
          <cell r="B70" t="str">
            <v>Pembangunan Jembatan</v>
          </cell>
          <cell r="C70" t="str">
            <v>Jumlah jembatan yang dibangun
(Unit)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4</v>
          </cell>
          <cell r="K70">
            <v>6161600000</v>
          </cell>
        </row>
        <row r="71">
          <cell r="B71" t="str">
            <v>Program Pengembangan dan Pengelolaan Jaringan Irigasi, Rawa dan Jaringan Pengairan lainnya</v>
          </cell>
          <cell r="C71">
            <v>0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H71">
            <v>0</v>
          </cell>
          <cell r="I71">
            <v>0</v>
          </cell>
          <cell r="J71">
            <v>0</v>
          </cell>
          <cell r="K71">
            <v>45879818000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B73" t="str">
            <v xml:space="preserve">Kegiatan Pembangunan Jaringan Air Bersih/Air Minum </v>
          </cell>
          <cell r="C73" t="str">
            <v>Jumlah kegiatan pembangunanair bersih/minum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6</v>
          </cell>
          <cell r="K73">
            <v>5382500000</v>
          </cell>
        </row>
        <row r="74">
          <cell r="B74" t="str">
            <v>Pembangunan Reservoir</v>
          </cell>
          <cell r="C74" t="str">
            <v>Jumlah kegiatan pembangunan
reservoir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6</v>
          </cell>
          <cell r="K74">
            <v>2866000000</v>
          </cell>
        </row>
        <row r="75">
          <cell r="B75" t="str">
            <v>Pembangunan Jaringan Irigasi</v>
          </cell>
          <cell r="C75" t="str">
            <v>Panjang jaringan yang
ditingkatkan (km)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20</v>
          </cell>
          <cell r="K75">
            <v>28893618000</v>
          </cell>
        </row>
        <row r="76">
          <cell r="B76" t="str">
            <v>Pembangunan Bendung</v>
          </cell>
          <cell r="C76" t="str">
            <v>Jumlah bendung yang dibangun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5</v>
          </cell>
          <cell r="K76">
            <v>5681000000</v>
          </cell>
        </row>
        <row r="77">
          <cell r="B77" t="str">
            <v>DINAS PERTANIAN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B78" t="str">
            <v>Program peningkatan produksi hasil peternakan</v>
          </cell>
          <cell r="C78" t="str">
            <v>Jumlah Populasi ternak Besar.
Jumlah Populasi ternak Kecil.
Jumlah Populasi Unggas</v>
          </cell>
          <cell r="D78" t="str">
            <v>- Jumlah populasi sapi = 14.010
- Jumlah populasi kambing = 10.326
- Jumlah populasi ayam = 382.503</v>
          </cell>
          <cell r="E78">
            <v>0</v>
          </cell>
          <cell r="F78" t="str">
            <v>- Jumlah populasi sapi = 15.021.000
- Jumlah populasi kambing = 13.454.000
- Jumlah populasi ayam = 1.446.811.000</v>
          </cell>
          <cell r="G78">
            <v>4714885000</v>
          </cell>
          <cell r="H78">
            <v>0</v>
          </cell>
          <cell r="I78">
            <v>0</v>
          </cell>
          <cell r="J78" t="str">
            <v>Ternak Besar = 17818 ekor
Ternak Kecil = 31.27 ekor
Unggas = 462.767 ekor</v>
          </cell>
          <cell r="K78">
            <v>3363726000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500</v>
          </cell>
          <cell r="K79">
            <v>3274000000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
dibangun/direhab. Panjang
Jalan Usaha Tani/ Jalan Produksi yang dibentuk/ditingkatkan</v>
          </cell>
          <cell r="D80" t="str">
            <v>1,49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Alsintan=300
Unit. Jides=10
Km.Luas cetak
sawah baru = 0 Ha</v>
          </cell>
          <cell r="K80">
            <v>19453303350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6</v>
          </cell>
          <cell r="K81">
            <v>9522189700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200</v>
          </cell>
          <cell r="K82">
            <v>2863900000</v>
          </cell>
        </row>
        <row r="83">
          <cell r="B83" t="str">
            <v>Kegiatan Pembangunan Dan Peningkatan Jalan Usaha Tani</v>
          </cell>
          <cell r="C83" t="str">
            <v>Panjang Jalan Usaha Tani yang
dibangun/ditingkatkan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25</v>
          </cell>
          <cell r="K83">
            <v>3803413150</v>
          </cell>
        </row>
        <row r="84">
          <cell r="B84" t="str">
            <v>Kegiatan Pembangunan Dan Peningkatan Jalan Produksi</v>
          </cell>
          <cell r="C84" t="str">
            <v>Panjang jalan Produksi yang
dibangun/ditingkatkan (km)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12</v>
          </cell>
          <cell r="K84">
            <v>2189500000</v>
          </cell>
        </row>
        <row r="85">
          <cell r="B85" t="str">
            <v>Program Peningkatan Produksi Tanaman Perkebunan</v>
          </cell>
          <cell r="C85" t="str">
            <v>Jumlah Produksi Lada (ton)
Jumlah Produksi Kakao (ton)
Jumlah Produksi Kelapa Sawit (ton)</v>
          </cell>
          <cell r="D85" t="str">
            <v>3854
12400
245630</v>
          </cell>
          <cell r="E85">
            <v>0</v>
          </cell>
          <cell r="F85" t="str">
            <v>4.094.000
13.597.000
258.364.000</v>
          </cell>
          <cell r="G85">
            <v>518827500</v>
          </cell>
          <cell r="H85">
            <v>0</v>
          </cell>
          <cell r="I85">
            <v>0</v>
          </cell>
          <cell r="J85" t="str">
            <v>4.301
16.147
285.102</v>
          </cell>
          <cell r="K85">
            <v>5326616250</v>
          </cell>
        </row>
        <row r="86">
          <cell r="B86" t="str">
            <v>Kegiatan Ekstensifikasi, Intensifikasi Dan Peremajaan
Tanaman Kakao</v>
          </cell>
          <cell r="C86" t="str">
            <v>Jumlah Luasan Tanaman Kakao
yang diidentifikasikan /direhabilitasi/diremajakan (Ha)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2000</v>
          </cell>
          <cell r="K86">
            <v>4258101250</v>
          </cell>
        </row>
        <row r="87">
          <cell r="B87" t="str">
            <v>DINAS KELAUTAN DAN PERIKANAN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B88" t="str">
            <v>Program Pengembangan Budidaya Perikanan</v>
          </cell>
          <cell r="C88" t="str">
            <v>Jumlah produksi
Perikanan Budidaya (ton)</v>
          </cell>
          <cell r="D88">
            <v>42922</v>
          </cell>
          <cell r="E88">
            <v>0</v>
          </cell>
          <cell r="F88">
            <v>44210000</v>
          </cell>
          <cell r="G88">
            <v>1657296400</v>
          </cell>
          <cell r="H88">
            <v>0</v>
          </cell>
          <cell r="I88">
            <v>0</v>
          </cell>
          <cell r="J88">
            <v>45497</v>
          </cell>
          <cell r="K88">
            <v>6339004650</v>
          </cell>
        </row>
        <row r="89">
          <cell r="B89" t="str">
            <v>Kegiatan Pembangunan Jalan Produksi Tambak</v>
          </cell>
          <cell r="C89" t="str">
            <v>Jumlah jalan produksi tambak
yang dibangun (km)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25</v>
          </cell>
          <cell r="K89">
            <v>2203740000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
dibangun (unit)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1763110000</v>
          </cell>
        </row>
        <row r="91">
          <cell r="B91" t="str">
            <v>Kegiatan Pembangunan/Rehabilitasi  Sarana Prasarana
Budidaya</v>
          </cell>
          <cell r="C91" t="str">
            <v>Jumlah Balai Benih Ikan yang
direhab/dibangun (unit/paket)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</v>
          </cell>
          <cell r="K91">
            <v>1705889650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E92">
            <v>0</v>
          </cell>
          <cell r="F92">
            <v>8702300</v>
          </cell>
          <cell r="G92">
            <v>7416554300</v>
          </cell>
          <cell r="H92">
            <v>0</v>
          </cell>
          <cell r="I92">
            <v>0</v>
          </cell>
          <cell r="J92">
            <v>8745.59</v>
          </cell>
          <cell r="K92">
            <v>11289630650</v>
          </cell>
        </row>
        <row r="93">
          <cell r="B93" t="str">
            <v>Kegiatan Pembangunan Tempat Pelelangan Ikan</v>
          </cell>
          <cell r="C93" t="str">
            <v>Jumlah Tambatan,TPI,fasilitas
pokok dan penunjang PPI yang
dibangun,direhab (Unit)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5468253325</v>
          </cell>
        </row>
        <row r="94">
          <cell r="B94" t="str">
            <v>Kegiatan Pegembangan Sarana Prasarana Penangkapan Ikan</v>
          </cell>
          <cell r="C94" t="str">
            <v>Jumlah Bantuan Mesin
Ketinting/Mesin tempel yang diadakan (Unit)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40</v>
          </cell>
          <cell r="K94">
            <v>1662219000</v>
          </cell>
        </row>
        <row r="95">
          <cell r="B95" t="str">
            <v>Kegiatan Pembangunan/Penerapan Teknologi Perikanan
Tangkap</v>
          </cell>
          <cell r="C95" t="str">
            <v>Jumlah apartemen ikan yang
diadakan (Unit)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2</v>
          </cell>
          <cell r="K95">
            <v>1769000000</v>
          </cell>
        </row>
        <row r="96">
          <cell r="B96" t="str">
            <v>Program Optimalisasi pengelolaan dan pemasaran produksi perikanan</v>
          </cell>
          <cell r="C96" t="str">
            <v>Jumlah produksi
Pengolahan
ikan  (ton)</v>
          </cell>
          <cell r="D96">
            <v>302.39999999999998</v>
          </cell>
          <cell r="E96">
            <v>0</v>
          </cell>
          <cell r="F96">
            <v>303750</v>
          </cell>
          <cell r="G96">
            <v>1482852500</v>
          </cell>
          <cell r="H96">
            <v>0</v>
          </cell>
          <cell r="I96">
            <v>0</v>
          </cell>
          <cell r="J96">
            <v>305.27</v>
          </cell>
          <cell r="K96">
            <v>1919115000</v>
          </cell>
        </row>
        <row r="97">
          <cell r="B97" t="str">
            <v>Kegiatan Optimalisasi Pengelolaan Dan Pemasaran Hasil
Perikanan</v>
          </cell>
          <cell r="C97" t="str">
            <v>Jumlah Sarana prasarana pokok
dan Pendukung Industri perikanan yang dibangun/direhab/diadakan (Unit)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20</v>
          </cell>
          <cell r="K97">
            <v>1426630000</v>
          </cell>
        </row>
        <row r="98">
          <cell r="B98" t="str">
            <v>DPMPTSP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B99" t="str">
            <v>Program Peningkatan Promosi dan Kerjasama Investasi</v>
          </cell>
          <cell r="C99" t="str">
            <v>- persentase jumlah promosi yang dilaksanakan
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H99">
            <v>0</v>
          </cell>
          <cell r="I99">
            <v>0</v>
          </cell>
          <cell r="J99">
            <v>0</v>
          </cell>
          <cell r="K99">
            <v>543029000</v>
          </cell>
        </row>
        <row r="100">
          <cell r="B100" t="str">
            <v>Kegiatan Penyelenggaraan Pameran Investasi</v>
          </cell>
          <cell r="C100" t="str">
            <v>Jumlah keikutsertaan pameran
investasi tingkat propinsi
regional dan nasional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331030000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H101">
            <v>0</v>
          </cell>
          <cell r="I101">
            <v>0</v>
          </cell>
          <cell r="J101">
            <v>0</v>
          </cell>
          <cell r="K101">
            <v>237077000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73879000</v>
          </cell>
        </row>
        <row r="103">
          <cell r="B103" t="str">
            <v>Penyusunan Cetak Biru (Master Plan) Pengembangan Penanaman Modal</v>
          </cell>
          <cell r="C103" t="str">
            <v>Database bidang penanaman
modal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84596000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</sheetData>
      <sheetData sheetId="8">
        <row r="3">
          <cell r="B3" t="str">
            <v>DINAS PENDIDIKAN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 t="str">
            <v>Target</v>
          </cell>
          <cell r="K3" t="str">
            <v>Anggaran</v>
          </cell>
          <cell r="L3" t="str">
            <v>Target</v>
          </cell>
          <cell r="M3" t="str">
            <v>Anggaran</v>
          </cell>
        </row>
        <row r="4">
          <cell r="B4" t="str">
            <v>Program Pendidikan Anak Usia Dini</v>
          </cell>
          <cell r="C4" t="str">
            <v>APK PAUD formal dan Non
Formal</v>
          </cell>
          <cell r="D4">
            <v>0</v>
          </cell>
          <cell r="E4">
            <v>0</v>
          </cell>
          <cell r="F4">
            <v>0.44</v>
          </cell>
          <cell r="G4">
            <v>22097497500</v>
          </cell>
          <cell r="H4">
            <v>0.49</v>
          </cell>
          <cell r="I4">
            <v>14843297500</v>
          </cell>
          <cell r="J4">
            <v>0.49</v>
          </cell>
          <cell r="K4">
            <v>3575607600</v>
          </cell>
          <cell r="L4">
            <v>0.54</v>
          </cell>
          <cell r="M4">
            <v>19481839625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1</v>
          </cell>
          <cell r="I5">
            <v>150000000</v>
          </cell>
          <cell r="J5">
            <v>8</v>
          </cell>
          <cell r="K5">
            <v>1667125000</v>
          </cell>
          <cell r="L5">
            <v>1</v>
          </cell>
          <cell r="M5">
            <v>259600000</v>
          </cell>
        </row>
        <row r="6">
          <cell r="B6" t="str">
            <v>Kegiatan Penyelenggaraan Pendidikan Anak Usia Dini</v>
          </cell>
          <cell r="C6" t="str">
            <v>Jumlah TK yang mendapatkan
pelayanan PAUD</v>
          </cell>
          <cell r="D6">
            <v>0</v>
          </cell>
          <cell r="E6">
            <v>0</v>
          </cell>
          <cell r="F6">
            <v>170</v>
          </cell>
          <cell r="G6">
            <v>2643777500</v>
          </cell>
          <cell r="H6">
            <v>170</v>
          </cell>
          <cell r="I6">
            <v>2643777500</v>
          </cell>
          <cell r="J6">
            <v>11</v>
          </cell>
          <cell r="K6">
            <v>607875000</v>
          </cell>
          <cell r="L6">
            <v>170</v>
          </cell>
          <cell r="M6">
            <v>2643777500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D7">
            <v>0</v>
          </cell>
          <cell r="E7">
            <v>0</v>
          </cell>
          <cell r="F7">
            <v>100</v>
          </cell>
          <cell r="G7">
            <v>18750000000</v>
          </cell>
          <cell r="H7">
            <v>50</v>
          </cell>
          <cell r="I7">
            <v>9375000000</v>
          </cell>
          <cell r="J7">
            <v>0</v>
          </cell>
          <cell r="K7">
            <v>19866600</v>
          </cell>
          <cell r="L7">
            <v>75</v>
          </cell>
          <cell r="M7">
            <v>14062500000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E8">
            <v>0</v>
          </cell>
          <cell r="F8">
            <v>99.34</v>
          </cell>
          <cell r="G8">
            <v>55852756420</v>
          </cell>
          <cell r="H8">
            <v>99.44</v>
          </cell>
          <cell r="I8">
            <v>84451496662</v>
          </cell>
          <cell r="J8">
            <v>99.44</v>
          </cell>
          <cell r="K8">
            <v>96542666148</v>
          </cell>
          <cell r="L8">
            <v>99.54</v>
          </cell>
          <cell r="M8">
            <v>145808671869.72</v>
          </cell>
        </row>
        <row r="9">
          <cell r="B9">
            <v>0</v>
          </cell>
          <cell r="C9" t="str">
            <v>AK SMP</v>
          </cell>
          <cell r="D9">
            <v>20</v>
          </cell>
          <cell r="E9">
            <v>0</v>
          </cell>
          <cell r="F9">
            <v>98.7</v>
          </cell>
          <cell r="G9">
            <v>0</v>
          </cell>
          <cell r="H9">
            <v>98.87</v>
          </cell>
          <cell r="I9">
            <v>0</v>
          </cell>
          <cell r="J9">
            <v>98.87</v>
          </cell>
          <cell r="K9">
            <v>0</v>
          </cell>
          <cell r="L9">
            <v>99.05</v>
          </cell>
          <cell r="M9">
            <v>0</v>
          </cell>
        </row>
        <row r="10">
          <cell r="B10">
            <v>0</v>
          </cell>
          <cell r="C10" t="str">
            <v>AM SD</v>
          </cell>
          <cell r="D10">
            <v>122</v>
          </cell>
          <cell r="E10">
            <v>0</v>
          </cell>
          <cell r="F10">
            <v>89.96</v>
          </cell>
          <cell r="G10">
            <v>0</v>
          </cell>
          <cell r="H10">
            <v>90.22</v>
          </cell>
          <cell r="I10">
            <v>0</v>
          </cell>
          <cell r="J10">
            <v>90.22</v>
          </cell>
          <cell r="K10">
            <v>0</v>
          </cell>
          <cell r="L10">
            <v>90.06</v>
          </cell>
          <cell r="M10">
            <v>0</v>
          </cell>
        </row>
        <row r="11">
          <cell r="B11">
            <v>0</v>
          </cell>
          <cell r="C11" t="str">
            <v>AM SMP</v>
          </cell>
          <cell r="D11">
            <v>51.98</v>
          </cell>
          <cell r="E11">
            <v>0</v>
          </cell>
          <cell r="F11">
            <v>93.16</v>
          </cell>
          <cell r="G11">
            <v>0</v>
          </cell>
          <cell r="H11">
            <v>93.54</v>
          </cell>
          <cell r="I11">
            <v>0</v>
          </cell>
          <cell r="J11">
            <v>93.54</v>
          </cell>
          <cell r="K11">
            <v>0</v>
          </cell>
          <cell r="L11">
            <v>95.68</v>
          </cell>
          <cell r="M11">
            <v>0</v>
          </cell>
        </row>
        <row r="12">
          <cell r="B12">
            <v>0</v>
          </cell>
          <cell r="C12" t="str">
            <v>APK SD</v>
          </cell>
          <cell r="D12">
            <v>50</v>
          </cell>
          <cell r="E12">
            <v>0</v>
          </cell>
          <cell r="F12">
            <v>108.3</v>
          </cell>
          <cell r="G12">
            <v>0</v>
          </cell>
          <cell r="H12">
            <v>108.6</v>
          </cell>
          <cell r="I12">
            <v>0</v>
          </cell>
          <cell r="J12">
            <v>108.6</v>
          </cell>
          <cell r="K12">
            <v>0</v>
          </cell>
          <cell r="L12">
            <v>108.9</v>
          </cell>
          <cell r="M12">
            <v>0</v>
          </cell>
        </row>
        <row r="13">
          <cell r="B13">
            <v>0</v>
          </cell>
          <cell r="C13" t="str">
            <v>APK SMP</v>
          </cell>
          <cell r="D13">
            <v>50</v>
          </cell>
          <cell r="E13">
            <v>0</v>
          </cell>
          <cell r="F13">
            <v>103.02</v>
          </cell>
          <cell r="G13">
            <v>0</v>
          </cell>
          <cell r="H13">
            <v>104.03</v>
          </cell>
          <cell r="I13">
            <v>0</v>
          </cell>
          <cell r="J13">
            <v>104.03</v>
          </cell>
          <cell r="K13">
            <v>0</v>
          </cell>
          <cell r="L13">
            <v>105.04</v>
          </cell>
          <cell r="M13">
            <v>0</v>
          </cell>
        </row>
        <row r="14">
          <cell r="B14">
            <v>0</v>
          </cell>
          <cell r="C14" t="str">
            <v>APM SD</v>
          </cell>
          <cell r="D14">
            <v>41.85</v>
          </cell>
          <cell r="E14">
            <v>0</v>
          </cell>
          <cell r="F14">
            <v>99.03</v>
          </cell>
          <cell r="G14">
            <v>0</v>
          </cell>
          <cell r="H14">
            <v>99.1</v>
          </cell>
          <cell r="I14">
            <v>0</v>
          </cell>
          <cell r="J14">
            <v>99.1</v>
          </cell>
          <cell r="K14">
            <v>0</v>
          </cell>
          <cell r="L14">
            <v>99.2</v>
          </cell>
          <cell r="M14">
            <v>0</v>
          </cell>
        </row>
        <row r="15">
          <cell r="B15">
            <v>0</v>
          </cell>
          <cell r="C15" t="str">
            <v>APM SMP</v>
          </cell>
          <cell r="D15">
            <v>70</v>
          </cell>
          <cell r="E15">
            <v>0</v>
          </cell>
          <cell r="F15">
            <v>80.959999999999994</v>
          </cell>
          <cell r="G15">
            <v>0</v>
          </cell>
          <cell r="H15">
            <v>81.34</v>
          </cell>
          <cell r="I15">
            <v>0</v>
          </cell>
          <cell r="J15">
            <v>81.34</v>
          </cell>
          <cell r="K15">
            <v>0</v>
          </cell>
          <cell r="L15">
            <v>81.510000000000005</v>
          </cell>
          <cell r="M15">
            <v>0</v>
          </cell>
        </row>
        <row r="16">
          <cell r="B16">
            <v>0</v>
          </cell>
          <cell r="C16" t="str">
            <v>APS 7-12 thn</v>
          </cell>
          <cell r="D16">
            <v>0</v>
          </cell>
          <cell r="E16">
            <v>0</v>
          </cell>
          <cell r="F16">
            <v>95.76</v>
          </cell>
          <cell r="G16">
            <v>0</v>
          </cell>
          <cell r="H16">
            <v>95.22</v>
          </cell>
          <cell r="I16">
            <v>0</v>
          </cell>
          <cell r="J16">
            <v>95.22</v>
          </cell>
          <cell r="K16">
            <v>0</v>
          </cell>
          <cell r="L16">
            <v>95.67</v>
          </cell>
          <cell r="M16">
            <v>0</v>
          </cell>
        </row>
        <row r="17">
          <cell r="B17">
            <v>0</v>
          </cell>
          <cell r="C17" t="str">
            <v>APS 13-15 thn</v>
          </cell>
          <cell r="D17">
            <v>0</v>
          </cell>
          <cell r="E17">
            <v>0</v>
          </cell>
          <cell r="F17">
            <v>96.41</v>
          </cell>
          <cell r="G17">
            <v>0</v>
          </cell>
          <cell r="H17">
            <v>96.44</v>
          </cell>
          <cell r="I17">
            <v>0</v>
          </cell>
          <cell r="J17">
            <v>96.44</v>
          </cell>
          <cell r="K17">
            <v>0</v>
          </cell>
          <cell r="L17">
            <v>96.46</v>
          </cell>
          <cell r="M17">
            <v>0</v>
          </cell>
        </row>
        <row r="18">
          <cell r="B18">
            <v>0</v>
          </cell>
          <cell r="C18" t="str">
            <v>APtS SD</v>
          </cell>
          <cell r="D18">
            <v>0</v>
          </cell>
          <cell r="E18">
            <v>0</v>
          </cell>
          <cell r="F18">
            <v>0.25</v>
          </cell>
          <cell r="G18">
            <v>0</v>
          </cell>
          <cell r="H18">
            <v>0.23</v>
          </cell>
          <cell r="I18">
            <v>0</v>
          </cell>
          <cell r="J18">
            <v>0.23</v>
          </cell>
          <cell r="K18">
            <v>0</v>
          </cell>
          <cell r="L18">
            <v>0.21</v>
          </cell>
          <cell r="M18">
            <v>0</v>
          </cell>
        </row>
        <row r="19">
          <cell r="B19">
            <v>0</v>
          </cell>
          <cell r="C19" t="str">
            <v>APtS SMP</v>
          </cell>
          <cell r="D19">
            <v>0</v>
          </cell>
          <cell r="E19">
            <v>0</v>
          </cell>
          <cell r="F19">
            <v>0.44</v>
          </cell>
          <cell r="G19">
            <v>0</v>
          </cell>
          <cell r="H19">
            <v>0.39</v>
          </cell>
          <cell r="I19">
            <v>0</v>
          </cell>
          <cell r="J19">
            <v>0.39</v>
          </cell>
          <cell r="K19">
            <v>0</v>
          </cell>
          <cell r="L19">
            <v>0.35</v>
          </cell>
          <cell r="M19">
            <v>0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D20">
            <v>0</v>
          </cell>
          <cell r="E20">
            <v>0</v>
          </cell>
          <cell r="F20">
            <v>20</v>
          </cell>
          <cell r="G20">
            <v>3340000000</v>
          </cell>
          <cell r="H20">
            <v>23</v>
          </cell>
          <cell r="I20">
            <v>3841000000</v>
          </cell>
          <cell r="J20">
            <v>51</v>
          </cell>
          <cell r="K20">
            <v>15167388269</v>
          </cell>
          <cell r="L20">
            <v>28</v>
          </cell>
          <cell r="M20">
            <v>7278040000</v>
          </cell>
        </row>
        <row r="21">
          <cell r="B21">
            <v>0</v>
          </cell>
          <cell r="C21" t="str">
            <v>Jumlah RKB SMP yang dibangun</v>
          </cell>
          <cell r="D21">
            <v>0</v>
          </cell>
          <cell r="E21">
            <v>0</v>
          </cell>
          <cell r="F21">
            <v>12</v>
          </cell>
          <cell r="G21">
            <v>2004000000</v>
          </cell>
          <cell r="H21">
            <v>12</v>
          </cell>
          <cell r="I21">
            <v>2004000000</v>
          </cell>
          <cell r="J21">
            <v>22</v>
          </cell>
          <cell r="K21">
            <v>0</v>
          </cell>
          <cell r="L21">
            <v>12</v>
          </cell>
          <cell r="M21">
            <v>0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36436064000</v>
          </cell>
          <cell r="L22">
            <v>0</v>
          </cell>
          <cell r="M22">
            <v>37395800000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D23">
            <v>0</v>
          </cell>
          <cell r="E23">
            <v>0</v>
          </cell>
          <cell r="F23">
            <v>3000</v>
          </cell>
          <cell r="G23">
            <v>3900000000</v>
          </cell>
          <cell r="H23">
            <v>3000</v>
          </cell>
          <cell r="I23">
            <v>3900000000</v>
          </cell>
          <cell r="J23">
            <v>3000</v>
          </cell>
          <cell r="K23">
            <v>6169343669</v>
          </cell>
          <cell r="L23">
            <v>4500</v>
          </cell>
          <cell r="M23">
            <v>9582248000</v>
          </cell>
        </row>
        <row r="24">
          <cell r="B24">
            <v>0</v>
          </cell>
          <cell r="C24" t="str">
            <v>Kegiatan Panjang  pagar SMP yang dibangun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1000</v>
          </cell>
          <cell r="K24">
            <v>0</v>
          </cell>
          <cell r="L24">
            <v>1000</v>
          </cell>
          <cell r="M24">
            <v>2132498000</v>
          </cell>
        </row>
        <row r="25">
          <cell r="B25" t="str">
            <v>Kegiatan Pelayanan Pendidikan Gratis</v>
          </cell>
          <cell r="C25" t="str">
            <v>- Jumlah sekolah yang menerima
Dana Operasional Pendidikan
Gratis SD sederajat
- Jumlah sekolah yang menerima Dana
Operasional Pendidikan Gratis sMP</v>
          </cell>
          <cell r="D25">
            <v>0</v>
          </cell>
          <cell r="E25">
            <v>0</v>
          </cell>
          <cell r="F25">
            <v>247</v>
          </cell>
          <cell r="G25">
            <v>17048434000</v>
          </cell>
          <cell r="H25">
            <v>247</v>
          </cell>
          <cell r="I25">
            <v>18048434000</v>
          </cell>
          <cell r="J25">
            <v>211</v>
          </cell>
          <cell r="K25">
            <v>10598605800</v>
          </cell>
          <cell r="L25">
            <v>211</v>
          </cell>
          <cell r="M25">
            <v>14664204000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97.24</v>
          </cell>
          <cell r="G26">
            <v>317025000</v>
          </cell>
          <cell r="H26">
            <v>97.33</v>
          </cell>
          <cell r="I26">
            <v>309825000</v>
          </cell>
          <cell r="J26">
            <v>97.33</v>
          </cell>
          <cell r="K26">
            <v>861962500</v>
          </cell>
          <cell r="L26">
            <v>97.42</v>
          </cell>
          <cell r="M26">
            <v>1006002500</v>
          </cell>
        </row>
        <row r="27">
          <cell r="B27" t="str">
            <v>Kegiatan Pemberian Bantuan Operasional Pendidikan Non
Formal</v>
          </cell>
          <cell r="C27" t="str">
            <v>Jumlah waraga belajar kejar pakat A,B dan C</v>
          </cell>
          <cell r="D27">
            <v>0</v>
          </cell>
          <cell r="E27">
            <v>0</v>
          </cell>
          <cell r="F27" t="str">
            <v>n/a</v>
          </cell>
          <cell r="G27" t="str">
            <v>n/a</v>
          </cell>
          <cell r="H27" t="str">
            <v>n/a</v>
          </cell>
          <cell r="I27" t="str">
            <v>n/a</v>
          </cell>
          <cell r="J27" t="str">
            <v>Paket A=40 org,
Pakt B 100 org,
Paket C 125 org</v>
          </cell>
          <cell r="K27">
            <v>395500000</v>
          </cell>
          <cell r="L27" t="str">
            <v>Paket A=30 org,
Pakt B 100 org,
Paket C 200 org</v>
          </cell>
          <cell r="M27">
            <v>510000000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D28">
            <v>0</v>
          </cell>
          <cell r="E28">
            <v>0</v>
          </cell>
          <cell r="F28" t="str">
            <v>n/a</v>
          </cell>
          <cell r="G28" t="str">
            <v>n/a</v>
          </cell>
          <cell r="H28" t="str">
            <v>n/a</v>
          </cell>
          <cell r="I28" t="str">
            <v>n/a</v>
          </cell>
          <cell r="J28">
            <v>225</v>
          </cell>
          <cell r="K28">
            <v>197902500</v>
          </cell>
          <cell r="L28">
            <v>0</v>
          </cell>
          <cell r="M28">
            <v>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1713803000</v>
          </cell>
          <cell r="H29">
            <v>0</v>
          </cell>
          <cell r="I29">
            <v>1732834100</v>
          </cell>
          <cell r="J29">
            <v>0</v>
          </cell>
          <cell r="K29">
            <v>751749000</v>
          </cell>
          <cell r="L29">
            <v>0</v>
          </cell>
          <cell r="M29">
            <v>1957173310</v>
          </cell>
        </row>
        <row r="30">
          <cell r="B30">
            <v>0</v>
          </cell>
          <cell r="C30" t="str">
            <v>Guru bersertifikat</v>
          </cell>
          <cell r="D30">
            <v>0</v>
          </cell>
          <cell r="E30">
            <v>0</v>
          </cell>
          <cell r="F30">
            <v>0.62</v>
          </cell>
          <cell r="G30">
            <v>0</v>
          </cell>
          <cell r="H30">
            <v>0.73</v>
          </cell>
          <cell r="I30">
            <v>0</v>
          </cell>
          <cell r="J30">
            <v>0.73</v>
          </cell>
          <cell r="K30">
            <v>0</v>
          </cell>
          <cell r="L30">
            <v>0.87</v>
          </cell>
          <cell r="M30">
            <v>0</v>
          </cell>
        </row>
        <row r="31">
          <cell r="B31">
            <v>0</v>
          </cell>
          <cell r="C31" t="str">
            <v>Guru berkualifikasi S-1/D-IV</v>
          </cell>
          <cell r="D31">
            <v>0</v>
          </cell>
          <cell r="E31">
            <v>0</v>
          </cell>
          <cell r="F31">
            <v>0.86</v>
          </cell>
          <cell r="G31">
            <v>0</v>
          </cell>
          <cell r="H31">
            <v>0.89</v>
          </cell>
          <cell r="I31">
            <v>0</v>
          </cell>
          <cell r="J31">
            <v>0.89</v>
          </cell>
          <cell r="K31">
            <v>0</v>
          </cell>
          <cell r="L31">
            <v>0.92</v>
          </cell>
          <cell r="M31">
            <v>0</v>
          </cell>
        </row>
        <row r="32">
          <cell r="B32">
            <v>0</v>
          </cell>
          <cell r="C32" t="str">
            <v>Rasio guru:murid SD</v>
          </cell>
          <cell r="D32">
            <v>0</v>
          </cell>
          <cell r="E32">
            <v>0</v>
          </cell>
          <cell r="F32">
            <v>32</v>
          </cell>
          <cell r="G32">
            <v>0</v>
          </cell>
          <cell r="H32">
            <v>32</v>
          </cell>
          <cell r="I32">
            <v>0</v>
          </cell>
          <cell r="J32">
            <v>32</v>
          </cell>
          <cell r="K32">
            <v>0</v>
          </cell>
          <cell r="L32">
            <v>32</v>
          </cell>
          <cell r="M32">
            <v>0</v>
          </cell>
        </row>
        <row r="33">
          <cell r="B33">
            <v>0</v>
          </cell>
          <cell r="C33" t="str">
            <v>Rasio guru:murid SMP</v>
          </cell>
          <cell r="D33">
            <v>0</v>
          </cell>
          <cell r="E33">
            <v>0</v>
          </cell>
          <cell r="F33">
            <v>36</v>
          </cell>
          <cell r="G33">
            <v>0</v>
          </cell>
          <cell r="H33">
            <v>36</v>
          </cell>
          <cell r="I33">
            <v>0</v>
          </cell>
          <cell r="J33">
            <v>36</v>
          </cell>
          <cell r="K33">
            <v>0</v>
          </cell>
          <cell r="L33">
            <v>36</v>
          </cell>
          <cell r="M33">
            <v>0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D34">
            <v>0</v>
          </cell>
          <cell r="E34">
            <v>0</v>
          </cell>
          <cell r="F34">
            <v>200</v>
          </cell>
          <cell r="G34">
            <v>150000000</v>
          </cell>
          <cell r="H34">
            <v>200</v>
          </cell>
          <cell r="I34">
            <v>150000000</v>
          </cell>
          <cell r="J34">
            <v>206</v>
          </cell>
          <cell r="K34">
            <v>90370000</v>
          </cell>
          <cell r="L34">
            <v>200</v>
          </cell>
          <cell r="M34">
            <v>174005000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D35">
            <v>0</v>
          </cell>
          <cell r="E35">
            <v>0</v>
          </cell>
          <cell r="F35">
            <v>1685</v>
          </cell>
          <cell r="G35">
            <v>50000000</v>
          </cell>
          <cell r="H35">
            <v>1685</v>
          </cell>
          <cell r="I35">
            <v>50000000</v>
          </cell>
          <cell r="J35">
            <v>362</v>
          </cell>
          <cell r="K35">
            <v>132548000</v>
          </cell>
          <cell r="L35">
            <v>348</v>
          </cell>
          <cell r="M35">
            <v>200000000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362</v>
          </cell>
          <cell r="K36">
            <v>132498000</v>
          </cell>
          <cell r="L36">
            <v>0</v>
          </cell>
          <cell r="M36">
            <v>0</v>
          </cell>
        </row>
        <row r="37">
          <cell r="B37" t="str">
            <v>Pengembangan Sistem Penghargaan Dan Perlindungan Terhadap Profesi Pendidik</v>
          </cell>
          <cell r="C37" t="str">
            <v>Jumlah guru mengikuti lomba guru berprestasi</v>
          </cell>
          <cell r="D37">
            <v>0</v>
          </cell>
          <cell r="E37">
            <v>0</v>
          </cell>
          <cell r="F37">
            <v>94</v>
          </cell>
          <cell r="G37">
            <v>103884000</v>
          </cell>
          <cell r="H37">
            <v>94</v>
          </cell>
          <cell r="I37">
            <v>114272400</v>
          </cell>
          <cell r="J37">
            <v>256</v>
          </cell>
          <cell r="K37">
            <v>119637000</v>
          </cell>
          <cell r="L37">
            <v>94</v>
          </cell>
          <cell r="M37">
            <v>125699640</v>
          </cell>
        </row>
        <row r="38">
          <cell r="B38" t="str">
            <v>Pembinaan Musyawarah Guru Mata Pelajaran</v>
          </cell>
          <cell r="C38" t="str">
            <v>Jumlah guru mata pelajaran yang bermusyawarah</v>
          </cell>
          <cell r="D38">
            <v>0</v>
          </cell>
          <cell r="E38">
            <v>0</v>
          </cell>
          <cell r="F38">
            <v>512</v>
          </cell>
          <cell r="G38">
            <v>250000000</v>
          </cell>
          <cell r="H38">
            <v>512</v>
          </cell>
          <cell r="I38">
            <v>250000000</v>
          </cell>
          <cell r="J38">
            <v>585</v>
          </cell>
          <cell r="K38">
            <v>138715000</v>
          </cell>
          <cell r="L38">
            <v>512</v>
          </cell>
          <cell r="M38">
            <v>225000000</v>
          </cell>
        </row>
        <row r="39">
          <cell r="B39" t="str">
            <v>Program Manajemen Pelayanan Pendidikan</v>
          </cell>
          <cell r="C39" t="str">
            <v>Persentase angka partisipasi pendidikan tinggi</v>
          </cell>
          <cell r="D39">
            <v>0</v>
          </cell>
          <cell r="E39">
            <v>0</v>
          </cell>
          <cell r="F39">
            <v>0.2</v>
          </cell>
          <cell r="G39">
            <v>20134250000</v>
          </cell>
          <cell r="H39">
            <v>0.2</v>
          </cell>
          <cell r="I39">
            <v>22702250000</v>
          </cell>
          <cell r="J39">
            <v>0.2</v>
          </cell>
          <cell r="K39">
            <v>16324360500</v>
          </cell>
          <cell r="L39">
            <v>0.2</v>
          </cell>
          <cell r="M39">
            <v>25647050000</v>
          </cell>
        </row>
        <row r="40">
          <cell r="B40" t="str">
            <v>Kegiatan Pelaksanaan Kerjasama Secara Kelembagaan Di
Bidang Pendidikan</v>
          </cell>
          <cell r="C40" t="str">
            <v>Jumlah mahasiswa menerima bantuan pendidikan tinggi</v>
          </cell>
          <cell r="D40">
            <v>0</v>
          </cell>
          <cell r="E40">
            <v>0</v>
          </cell>
          <cell r="F40">
            <v>3233</v>
          </cell>
          <cell r="G40">
            <v>12932000000</v>
          </cell>
          <cell r="H40">
            <v>3875</v>
          </cell>
          <cell r="I40">
            <v>15500000000</v>
          </cell>
          <cell r="J40">
            <v>3875</v>
          </cell>
          <cell r="K40">
            <v>15678905000</v>
          </cell>
          <cell r="L40">
            <v>4490</v>
          </cell>
          <cell r="M40">
            <v>17960000000</v>
          </cell>
        </row>
        <row r="41">
          <cell r="B41" t="str">
            <v>Kegiatan Pembinaan Dewan Pendidikan</v>
          </cell>
          <cell r="C41" t="str">
            <v>Jumlah program dewan pendidikan</v>
          </cell>
          <cell r="D41">
            <v>0</v>
          </cell>
          <cell r="E41">
            <v>0</v>
          </cell>
          <cell r="F41">
            <v>3</v>
          </cell>
          <cell r="G41">
            <v>450000000</v>
          </cell>
          <cell r="H41">
            <v>3</v>
          </cell>
          <cell r="I41">
            <v>450000000</v>
          </cell>
          <cell r="J41">
            <v>1</v>
          </cell>
          <cell r="K41">
            <v>410187500</v>
          </cell>
          <cell r="L41">
            <v>1</v>
          </cell>
          <cell r="M41">
            <v>450000000</v>
          </cell>
        </row>
        <row r="42">
          <cell r="B42" t="str">
            <v>Penyediaan Jasa Guru PTT dan Guru Kontrak  (Berdasarkan UU ASN berubah nama menjadi P3K)</v>
          </cell>
          <cell r="C42" t="str">
            <v>Jumlah Guru Non PNS Upahjasa daerah terpencil dan guru agama menerima Insentif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6057650000</v>
          </cell>
        </row>
        <row r="43">
          <cell r="B43">
            <v>0</v>
          </cell>
          <cell r="C43" t="str">
            <v>Upah jasa Tenaga Kependiikan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89</v>
          </cell>
          <cell r="K43">
            <v>0</v>
          </cell>
          <cell r="L43">
            <v>248</v>
          </cell>
          <cell r="M43">
            <v>0</v>
          </cell>
        </row>
        <row r="44">
          <cell r="B44">
            <v>0</v>
          </cell>
          <cell r="C44" t="str">
            <v>Upah jasa  guru daerah terpencil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146</v>
          </cell>
          <cell r="K44">
            <v>0</v>
          </cell>
          <cell r="L44">
            <v>117</v>
          </cell>
          <cell r="M44">
            <v>0</v>
          </cell>
        </row>
        <row r="45">
          <cell r="B45">
            <v>0</v>
          </cell>
          <cell r="C45" t="str">
            <v>Upah jasa guru agama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52</v>
          </cell>
          <cell r="K45">
            <v>0</v>
          </cell>
          <cell r="L45">
            <v>50</v>
          </cell>
          <cell r="M45">
            <v>0</v>
          </cell>
        </row>
        <row r="46">
          <cell r="B46">
            <v>0</v>
          </cell>
          <cell r="C46" t="str">
            <v>Honor daerah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8</v>
          </cell>
          <cell r="M46">
            <v>0</v>
          </cell>
        </row>
        <row r="47">
          <cell r="B47" t="str">
            <v>DINAS KESEHATAN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Program Standarisasi Pelayanan Kesehatan</v>
          </cell>
          <cell r="C48" t="str">
            <v>Peningkatan Pelayanan Standarisasi Kesehatan</v>
          </cell>
          <cell r="D48" t="str">
            <v>- 7
- 50</v>
          </cell>
          <cell r="E48">
            <v>0</v>
          </cell>
          <cell r="F48">
            <v>17</v>
          </cell>
          <cell r="G48">
            <v>5964590750</v>
          </cell>
          <cell r="H48">
            <v>17</v>
          </cell>
          <cell r="I48">
            <v>6031791325</v>
          </cell>
          <cell r="J48">
            <v>0</v>
          </cell>
          <cell r="K48">
            <v>13899362040</v>
          </cell>
          <cell r="L48">
            <v>0</v>
          </cell>
          <cell r="M48">
            <v>5706663750</v>
          </cell>
        </row>
        <row r="49">
          <cell r="B49" t="str">
            <v>Kegiatan Evaluasi Dan Pengembangan Standar Pelayanan
Kesehatan</v>
          </cell>
          <cell r="C49" t="str">
            <v xml:space="preserve"> Jumlah masyarakat yang memiliki JKN</v>
          </cell>
          <cell r="D49">
            <v>0</v>
          </cell>
          <cell r="E49">
            <v>0</v>
          </cell>
          <cell r="F49">
            <v>1</v>
          </cell>
          <cell r="G49">
            <v>5000000000</v>
          </cell>
          <cell r="H49">
            <v>1</v>
          </cell>
          <cell r="I49">
            <v>5000000000</v>
          </cell>
          <cell r="J49">
            <v>1</v>
          </cell>
          <cell r="K49">
            <v>12361681540</v>
          </cell>
          <cell r="L49">
            <v>1</v>
          </cell>
          <cell r="M49">
            <v>5000000000</v>
          </cell>
        </row>
        <row r="50">
          <cell r="B50" t="str">
            <v xml:space="preserve">Kegiatan Peningkatan Kualitas Pelayanan Kesehatan </v>
          </cell>
          <cell r="C50" t="str">
            <v>Jumlah Puskesmas yang terakreditasi (PKM)</v>
          </cell>
          <cell r="D50">
            <v>0</v>
          </cell>
          <cell r="E50">
            <v>0</v>
          </cell>
          <cell r="F50">
            <v>5</v>
          </cell>
          <cell r="G50">
            <v>689590750</v>
          </cell>
          <cell r="H50">
            <v>3</v>
          </cell>
          <cell r="I50">
            <v>600000000</v>
          </cell>
          <cell r="J50">
            <v>3</v>
          </cell>
          <cell r="K50">
            <v>1274316000</v>
          </cell>
          <cell r="L50">
            <v>2</v>
          </cell>
          <cell r="M50">
            <v>400000000</v>
          </cell>
        </row>
        <row r="51">
          <cell r="B51">
            <v>0</v>
          </cell>
          <cell r="C51" t="str">
            <v>Pembinaan SP2TP (PKM)</v>
          </cell>
          <cell r="D51">
            <v>0</v>
          </cell>
          <cell r="E51">
            <v>0</v>
          </cell>
          <cell r="F51">
            <v>17</v>
          </cell>
          <cell r="G51">
            <v>20000000</v>
          </cell>
          <cell r="H51">
            <v>17</v>
          </cell>
          <cell r="I51">
            <v>15000000</v>
          </cell>
          <cell r="J51">
            <v>17</v>
          </cell>
          <cell r="K51">
            <v>0</v>
          </cell>
          <cell r="L51">
            <v>17</v>
          </cell>
          <cell r="M51">
            <v>15000000</v>
          </cell>
        </row>
        <row r="52">
          <cell r="B52">
            <v>0</v>
          </cell>
          <cell r="C52" t="str">
            <v>Pembinaan Manajemen Puskesmas (PKM)</v>
          </cell>
          <cell r="D52">
            <v>0</v>
          </cell>
          <cell r="E52">
            <v>0</v>
          </cell>
          <cell r="F52">
            <v>17</v>
          </cell>
          <cell r="G52">
            <v>12415000</v>
          </cell>
          <cell r="H52">
            <v>17</v>
          </cell>
          <cell r="I52">
            <v>14898000</v>
          </cell>
          <cell r="J52">
            <v>17</v>
          </cell>
          <cell r="K52">
            <v>0</v>
          </cell>
          <cell r="L52">
            <v>17</v>
          </cell>
          <cell r="M52">
            <v>0</v>
          </cell>
        </row>
        <row r="53">
          <cell r="B53">
            <v>0</v>
          </cell>
          <cell r="C53" t="str">
            <v>Pembinaan tenaga teladan (PKM)</v>
          </cell>
          <cell r="D53">
            <v>0</v>
          </cell>
          <cell r="E53">
            <v>0</v>
          </cell>
          <cell r="F53">
            <v>17</v>
          </cell>
          <cell r="G53">
            <v>52900375</v>
          </cell>
          <cell r="H53">
            <v>17</v>
          </cell>
          <cell r="I53">
            <v>58190412.5</v>
          </cell>
          <cell r="J53">
            <v>17</v>
          </cell>
          <cell r="K53">
            <v>0</v>
          </cell>
          <cell r="L53">
            <v>17</v>
          </cell>
          <cell r="M53">
            <v>0</v>
          </cell>
        </row>
        <row r="54">
          <cell r="B54">
            <v>0</v>
          </cell>
          <cell r="C54" t="str">
            <v>Penilaian tenaga teladan (PKM)</v>
          </cell>
          <cell r="D54">
            <v>0</v>
          </cell>
          <cell r="E54">
            <v>0</v>
          </cell>
          <cell r="F54">
            <v>17</v>
          </cell>
          <cell r="G54">
            <v>52900375</v>
          </cell>
          <cell r="H54">
            <v>17</v>
          </cell>
          <cell r="I54">
            <v>58190412.5</v>
          </cell>
          <cell r="J54">
            <v>17</v>
          </cell>
          <cell r="K54">
            <v>0</v>
          </cell>
          <cell r="L54">
            <v>17</v>
          </cell>
          <cell r="M54">
            <v>0</v>
          </cell>
        </row>
        <row r="55">
          <cell r="B55">
            <v>0</v>
          </cell>
          <cell r="C55" t="str">
            <v>Penyusunan makalah tenaga 
kesehatan (PKM)</v>
          </cell>
          <cell r="D55">
            <v>0</v>
          </cell>
          <cell r="E55">
            <v>0</v>
          </cell>
          <cell r="F55">
            <v>17</v>
          </cell>
          <cell r="G55">
            <v>1375000</v>
          </cell>
          <cell r="H55">
            <v>17</v>
          </cell>
          <cell r="I55">
            <v>1512500</v>
          </cell>
          <cell r="J55">
            <v>17</v>
          </cell>
          <cell r="K55">
            <v>0</v>
          </cell>
          <cell r="L55">
            <v>17</v>
          </cell>
          <cell r="M55">
            <v>1663750</v>
          </cell>
        </row>
        <row r="56">
          <cell r="B56" t="str">
            <v>Kegiatan Peningkatan Standarisasi Pelayanan Kesehatan</v>
          </cell>
          <cell r="C56" t="str">
            <v>Jumlah masyarakat yang mendapatkan pelayanan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1033891500</v>
          </cell>
          <cell r="L56">
            <v>1</v>
          </cell>
          <cell r="M56">
            <v>200000000</v>
          </cell>
        </row>
        <row r="57">
          <cell r="B57" t="str">
            <v>Program pengadaan, peningkatan dan perbaikan sarana dan prasarana puskesmas/ puskemas pembantu dan jaringannya</v>
          </cell>
          <cell r="C57" t="str">
            <v>Peningkatan dan Perbaikan Sarana dan Prasarana Puskesmas/Puskesmas Pembantu dan Jaringannya</v>
          </cell>
          <cell r="D57">
            <v>15</v>
          </cell>
          <cell r="E57">
            <v>0</v>
          </cell>
          <cell r="F57">
            <v>15</v>
          </cell>
          <cell r="G57">
            <v>23513084679</v>
          </cell>
          <cell r="H57">
            <v>0</v>
          </cell>
          <cell r="I57">
            <v>0</v>
          </cell>
          <cell r="J57">
            <v>17</v>
          </cell>
          <cell r="K57">
            <v>16019868600</v>
          </cell>
          <cell r="L57">
            <v>17</v>
          </cell>
          <cell r="M57">
            <v>18005955000</v>
          </cell>
        </row>
        <row r="58">
          <cell r="B58" t="str">
            <v>Kegiatan Pembangunan Puskesmas</v>
          </cell>
          <cell r="C58" t="str">
            <v>Jumlah Puskesmas yang Terbangun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4708000000</v>
          </cell>
          <cell r="L58">
            <v>0</v>
          </cell>
          <cell r="M58">
            <v>0</v>
          </cell>
        </row>
        <row r="59">
          <cell r="B59" t="str">
            <v>Kegiatan Pembangunan Puskesmas Pembantu</v>
          </cell>
          <cell r="C59" t="str">
            <v>Pembangunan Puskesmas Pembantu (pustu)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990760100</v>
          </cell>
          <cell r="L59">
            <v>1</v>
          </cell>
          <cell r="M59">
            <v>530000000</v>
          </cell>
        </row>
        <row r="60">
          <cell r="B60" t="str">
            <v>KegiatanPengadaan Puskesmas Keliling</v>
          </cell>
          <cell r="C60" t="str">
            <v>Jumlah Puskesmas keliling yang diadakan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2403800000</v>
          </cell>
          <cell r="L60">
            <v>3</v>
          </cell>
          <cell r="M60">
            <v>1650000000</v>
          </cell>
        </row>
        <row r="61">
          <cell r="B61" t="str">
            <v>Kegiatan Pengadaan Sarana dan Prasarana Puskesmas</v>
          </cell>
          <cell r="C61" t="str">
            <v>Jumlah sarana dan prasarana puskesmas yang diadakan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10</v>
          </cell>
          <cell r="K61">
            <v>6611171000</v>
          </cell>
          <cell r="L61">
            <v>20</v>
          </cell>
          <cell r="M61">
            <v>4000000000</v>
          </cell>
        </row>
        <row r="62">
          <cell r="B62" t="str">
            <v>Program kemitraan peningkatan pelayanan kesehatan</v>
          </cell>
          <cell r="C62" t="str">
            <v>Peningkatan pelayanan
kesehatan</v>
          </cell>
          <cell r="D62">
            <v>150000</v>
          </cell>
          <cell r="E62">
            <v>0</v>
          </cell>
          <cell r="F62">
            <v>150000</v>
          </cell>
          <cell r="G62">
            <v>17723016700</v>
          </cell>
          <cell r="H62">
            <v>0</v>
          </cell>
          <cell r="I62">
            <v>0</v>
          </cell>
          <cell r="J62">
            <v>0</v>
          </cell>
          <cell r="K62">
            <v>39730926000</v>
          </cell>
          <cell r="L62">
            <v>0</v>
          </cell>
          <cell r="M62">
            <v>19475136000</v>
          </cell>
        </row>
        <row r="63">
          <cell r="B63" t="str">
            <v>Kegiatan Kemitraan Asuransi Kesehatan Masyarakat</v>
          </cell>
          <cell r="C63" t="str">
            <v>Jumlah Penduduk yang belum memiliki Jaminan Kesehatan (jiwa)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68736</v>
          </cell>
          <cell r="K63">
            <v>39520926000</v>
          </cell>
          <cell r="L63">
            <v>68736</v>
          </cell>
          <cell r="M63">
            <v>18971136000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
prasarana rumah sakit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1300500000</v>
          </cell>
          <cell r="L64">
            <v>0</v>
          </cell>
          <cell r="M64">
            <v>13030000000</v>
          </cell>
        </row>
        <row r="65">
          <cell r="B65" t="str">
            <v>Pembangunan Rumah Sakit</v>
          </cell>
          <cell r="C65" t="str">
            <v>Jumlah dokumen hasil studi
kelayakan pendirian rumah sakit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816000000</v>
          </cell>
          <cell r="L65">
            <v>0</v>
          </cell>
          <cell r="M65">
            <v>10950000000</v>
          </cell>
        </row>
        <row r="66">
          <cell r="B66" t="str">
            <v>DINAS PU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Program pembangunan jalan dan jembatan</v>
          </cell>
          <cell r="C67" t="str">
            <v>Jumlah jembatan dalam kondisi baik (unit)</v>
          </cell>
          <cell r="D67">
            <v>163</v>
          </cell>
          <cell r="E67">
            <v>202114968693</v>
          </cell>
          <cell r="F67">
            <v>173</v>
          </cell>
          <cell r="G67">
            <v>177466055509</v>
          </cell>
          <cell r="H67">
            <v>0</v>
          </cell>
          <cell r="I67">
            <v>0</v>
          </cell>
          <cell r="J67">
            <v>0</v>
          </cell>
          <cell r="K67">
            <v>112554092420</v>
          </cell>
          <cell r="L67">
            <v>0</v>
          </cell>
          <cell r="M67">
            <v>124500000000</v>
          </cell>
        </row>
        <row r="68">
          <cell r="B68">
            <v>0</v>
          </cell>
          <cell r="C68" t="str">
            <v>Proporsi panjang jaringan jalan dalam kondisi baik (km)</v>
          </cell>
          <cell r="D68">
            <v>1329.79</v>
          </cell>
          <cell r="E68">
            <v>0</v>
          </cell>
          <cell r="F68">
            <v>1396.28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 t="str">
            <v>Pembangunan Jalan</v>
          </cell>
          <cell r="C69" t="str">
            <v>Panjang Jalan ditingkatkan -
Aspal  (Km)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28.5</v>
          </cell>
          <cell r="K69">
            <v>106392492420</v>
          </cell>
          <cell r="L69">
            <v>28.5</v>
          </cell>
          <cell r="M69">
            <v>120000000000</v>
          </cell>
        </row>
        <row r="70">
          <cell r="B70" t="str">
            <v>Pembangunan Jembatan</v>
          </cell>
          <cell r="C70" t="str">
            <v>Jumlah jembatan yang dibangun
(Unit)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4</v>
          </cell>
          <cell r="K70">
            <v>6161600000</v>
          </cell>
          <cell r="L70">
            <v>4</v>
          </cell>
          <cell r="M70">
            <v>4500000000</v>
          </cell>
        </row>
        <row r="71">
          <cell r="B71" t="str">
            <v>Program Pengembangan dan Pengelolaan Jaringan Irigasi, Rawa dan Jaringan Pengairan lainnya</v>
          </cell>
          <cell r="C71">
            <v>0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H71">
            <v>0</v>
          </cell>
          <cell r="I71">
            <v>0</v>
          </cell>
          <cell r="J71">
            <v>0</v>
          </cell>
          <cell r="K71">
            <v>45879818000</v>
          </cell>
          <cell r="L71">
            <v>0</v>
          </cell>
          <cell r="M71">
            <v>48015230000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 t="str">
            <v xml:space="preserve">Kegiatan Pembangunan Jaringan Air Bersih/Air Minum </v>
          </cell>
          <cell r="C73" t="str">
            <v>Jumlah kegiatan pembangunanair bersih/minum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6</v>
          </cell>
          <cell r="K73">
            <v>5382500000</v>
          </cell>
          <cell r="L73">
            <v>5</v>
          </cell>
          <cell r="M73">
            <v>690000000</v>
          </cell>
        </row>
        <row r="74">
          <cell r="B74" t="str">
            <v>Pembangunan Reservoir</v>
          </cell>
          <cell r="C74" t="str">
            <v>Jumlah kegiatan pembangunan
reservoir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6</v>
          </cell>
          <cell r="K74">
            <v>2866000000</v>
          </cell>
          <cell r="L74">
            <v>6</v>
          </cell>
          <cell r="M74">
            <v>90000000</v>
          </cell>
        </row>
        <row r="75">
          <cell r="B75" t="str">
            <v>Pembangunan Jaringan Irigasi</v>
          </cell>
          <cell r="C75" t="str">
            <v>Panjang jaringan yang
ditingkatkan (km)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20</v>
          </cell>
          <cell r="K75">
            <v>28893618000</v>
          </cell>
          <cell r="L75">
            <v>20</v>
          </cell>
          <cell r="M75">
            <v>35000000000</v>
          </cell>
        </row>
        <row r="76">
          <cell r="B76" t="str">
            <v>Pembangunan Bendung</v>
          </cell>
          <cell r="C76" t="str">
            <v>Jumlah bendung yang dibangun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5</v>
          </cell>
          <cell r="K76">
            <v>5681000000</v>
          </cell>
          <cell r="L76">
            <v>5</v>
          </cell>
          <cell r="M76">
            <v>10000000000</v>
          </cell>
        </row>
        <row r="77">
          <cell r="B77" t="str">
            <v>DINAS PERTANIAN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Program peningkatan produksi hasil peternakan</v>
          </cell>
          <cell r="C78" t="str">
            <v>Jumlah Populasi ternak Besar.
Jumlah Populasi ternak Kecil.
Jumlah Populasi Unggas</v>
          </cell>
          <cell r="D78" t="str">
            <v>- Jumlah populasi sapi = 14.010
- Jumlah populasi kambing = 10.326
- Jumlah populasi ayam = 382.503</v>
          </cell>
          <cell r="E78">
            <v>0</v>
          </cell>
          <cell r="F78" t="str">
            <v>- Jumlah populasi sapi = 15.021.000
- Jumlah populasi kambing = 13.454.000
- Jumlah populasi ayam = 1.446.811.000</v>
          </cell>
          <cell r="G78">
            <v>4714885000</v>
          </cell>
          <cell r="H78">
            <v>0</v>
          </cell>
          <cell r="I78">
            <v>0</v>
          </cell>
          <cell r="J78" t="str">
            <v>Ternak Besar = 17818 ekor
Ternak Kecil = 31.27 ekor
Unggas = 462.767 ekor</v>
          </cell>
          <cell r="K78">
            <v>3363726000</v>
          </cell>
          <cell r="L78" t="str">
            <v>Ternak Besar = 20.302 ekor. 
Ternak Kecil = 33.027 ekor.
Unggas = 472.023 ekor</v>
          </cell>
          <cell r="M78">
            <v>3825000000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500</v>
          </cell>
          <cell r="K79">
            <v>3274000000</v>
          </cell>
          <cell r="L79">
            <v>500</v>
          </cell>
          <cell r="M79">
            <v>3720000000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
dibangun/direhab. Panjang
Jalan Usaha Tani/ Jalan Produksi yang dibentuk/ditingkatkan</v>
          </cell>
          <cell r="D80" t="str">
            <v>1,49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Alsintan=300
Unit. Jides=10
Km.Luas cetak
sawah baru = 0 Ha</v>
          </cell>
          <cell r="K80">
            <v>19453303350</v>
          </cell>
          <cell r="L80" t="str">
            <v>Alsintan=652 Unit.
Jides=16 Km.Luas
cetak sawah baru
= 500 Ha</v>
          </cell>
          <cell r="M80">
            <v>28570000000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6</v>
          </cell>
          <cell r="K81">
            <v>9522189700</v>
          </cell>
          <cell r="L81">
            <v>6</v>
          </cell>
          <cell r="M81">
            <v>2000000000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200</v>
          </cell>
          <cell r="K82">
            <v>2863900000</v>
          </cell>
          <cell r="L82">
            <v>350</v>
          </cell>
          <cell r="M82">
            <v>10250000000</v>
          </cell>
        </row>
        <row r="83">
          <cell r="B83" t="str">
            <v>Kegiatan Pembangunan Dan Peningkatan Jalan Usaha Tani</v>
          </cell>
          <cell r="C83" t="str">
            <v>Panjang Jalan Usaha Tani yang
dibangun/ditingkatkan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25</v>
          </cell>
          <cell r="K83">
            <v>3803413150</v>
          </cell>
          <cell r="L83">
            <v>25</v>
          </cell>
          <cell r="M83">
            <v>3750000000</v>
          </cell>
        </row>
        <row r="84">
          <cell r="B84" t="str">
            <v>Kegiatan Pembangunan Dan Peningkatan Jalan Produksi</v>
          </cell>
          <cell r="C84" t="str">
            <v>Panjang jalan Produksi yang
dibangun/ditingkatkan (km)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12</v>
          </cell>
          <cell r="K84">
            <v>2189500000</v>
          </cell>
          <cell r="L84">
            <v>15</v>
          </cell>
          <cell r="M84">
            <v>2250000000</v>
          </cell>
        </row>
        <row r="85">
          <cell r="B85" t="str">
            <v>Program Peningkatan Produksi Tanaman Perkebunan</v>
          </cell>
          <cell r="C85" t="str">
            <v>Jumlah Produksi Lada (ton)
Jumlah Produksi Kakao (ton)
Jumlah Produksi Kelapa Sawit (ton)</v>
          </cell>
          <cell r="D85" t="str">
            <v>3854
12400
245630</v>
          </cell>
          <cell r="E85">
            <v>0</v>
          </cell>
          <cell r="F85" t="str">
            <v>4.094.000
13.597.000
258.364.000</v>
          </cell>
          <cell r="G85">
            <v>518827500</v>
          </cell>
          <cell r="H85">
            <v>0</v>
          </cell>
          <cell r="I85">
            <v>0</v>
          </cell>
          <cell r="J85" t="str">
            <v>4.301
16.147
285.102</v>
          </cell>
          <cell r="K85">
            <v>5326616250</v>
          </cell>
          <cell r="L85" t="str">
            <v>4.336
17.995
304.621</v>
          </cell>
          <cell r="M85">
            <v>25089952200</v>
          </cell>
        </row>
        <row r="86">
          <cell r="B86" t="str">
            <v>Kegiatan Ekstensifikasi, Intensifikasi Dan Peremajaan
Tanaman Kakao</v>
          </cell>
          <cell r="C86" t="str">
            <v>Jumlah Luasan Tanaman Kakao
yang diidentifikasikan /direhabilitasi/diremajakan (Ha)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2000</v>
          </cell>
          <cell r="K86">
            <v>4258101250</v>
          </cell>
          <cell r="L86">
            <v>20000</v>
          </cell>
          <cell r="M86">
            <v>22879952200</v>
          </cell>
        </row>
        <row r="87">
          <cell r="B87" t="str">
            <v>DINAS KELAUTAN DAN PERIKANAN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B88" t="str">
            <v>Program Pengembangan Budidaya Perikanan</v>
          </cell>
          <cell r="C88" t="str">
            <v>Jumlah produksi
Perikanan Budidaya (ton)</v>
          </cell>
          <cell r="D88">
            <v>42922</v>
          </cell>
          <cell r="E88">
            <v>0</v>
          </cell>
          <cell r="F88">
            <v>44210000</v>
          </cell>
          <cell r="G88">
            <v>1657296400</v>
          </cell>
          <cell r="H88">
            <v>0</v>
          </cell>
          <cell r="I88">
            <v>0</v>
          </cell>
          <cell r="J88">
            <v>45497</v>
          </cell>
          <cell r="K88">
            <v>6339004650</v>
          </cell>
          <cell r="L88">
            <v>45497</v>
          </cell>
          <cell r="M88">
            <v>0</v>
          </cell>
        </row>
        <row r="89">
          <cell r="B89" t="str">
            <v>Kegiatan Pembangunan Jalan Produksi Tambak</v>
          </cell>
          <cell r="C89" t="str">
            <v>Jumlah jalan produksi tambak
yang dibangun (km)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25</v>
          </cell>
          <cell r="K89">
            <v>2203740000</v>
          </cell>
          <cell r="L89">
            <v>0</v>
          </cell>
          <cell r="M89">
            <v>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
dibangun (unit)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1763110000</v>
          </cell>
          <cell r="L90">
            <v>5</v>
          </cell>
          <cell r="M90">
            <v>0</v>
          </cell>
        </row>
        <row r="91">
          <cell r="B91" t="str">
            <v>Kegiatan Pembangunan/Rehabilitasi  Sarana Prasarana
Budidaya</v>
          </cell>
          <cell r="C91" t="str">
            <v>Jumlah Balai Benih Ikan yang
direhab/dibangun (unit/paket)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</v>
          </cell>
          <cell r="K91">
            <v>1705889650</v>
          </cell>
          <cell r="L91">
            <v>1</v>
          </cell>
          <cell r="M91">
            <v>0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E92">
            <v>0</v>
          </cell>
          <cell r="F92">
            <v>8702300</v>
          </cell>
          <cell r="G92">
            <v>7416554300</v>
          </cell>
          <cell r="H92">
            <v>0</v>
          </cell>
          <cell r="I92">
            <v>0</v>
          </cell>
          <cell r="J92">
            <v>8745.59</v>
          </cell>
          <cell r="K92">
            <v>11289630650</v>
          </cell>
          <cell r="L92">
            <v>0</v>
          </cell>
          <cell r="M92">
            <v>0</v>
          </cell>
        </row>
        <row r="93">
          <cell r="B93" t="str">
            <v>Kegiatan Pembangunan Tempat Pelelangan Ikan</v>
          </cell>
          <cell r="C93" t="str">
            <v>Jumlah Tambatan,TPI,fasilitas
pokok dan penunjang PPI yang
dibangun,direhab (Unit)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5468253325</v>
          </cell>
          <cell r="L93">
            <v>1</v>
          </cell>
          <cell r="M93">
            <v>0</v>
          </cell>
        </row>
        <row r="94">
          <cell r="B94" t="str">
            <v>Kegiatan Pegembangan Sarana Prasarana Penangkapan Ikan</v>
          </cell>
          <cell r="C94" t="str">
            <v>Jumlah Bantuan Mesin
Ketinting/Mesin tempel yang diadakan (Unit)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40</v>
          </cell>
          <cell r="K94">
            <v>1662219000</v>
          </cell>
          <cell r="L94">
            <v>40</v>
          </cell>
          <cell r="M94">
            <v>0</v>
          </cell>
        </row>
        <row r="95">
          <cell r="B95" t="str">
            <v>Kegiatan Pembangunan/Penerapan Teknologi Perikanan
Tangkap</v>
          </cell>
          <cell r="C95" t="str">
            <v>Jumlah apartemen ikan yang
diadakan (Unit)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2</v>
          </cell>
          <cell r="K95">
            <v>1769000000</v>
          </cell>
          <cell r="L95">
            <v>2</v>
          </cell>
          <cell r="M95">
            <v>0</v>
          </cell>
        </row>
        <row r="96">
          <cell r="B96" t="str">
            <v>Program Optimalisasi pengelolaan dan pemasaran produksi perikanan</v>
          </cell>
          <cell r="C96" t="str">
            <v>Jumlah produksi
Pengolahan
ikan  (ton)</v>
          </cell>
          <cell r="D96">
            <v>302.39999999999998</v>
          </cell>
          <cell r="E96">
            <v>0</v>
          </cell>
          <cell r="F96">
            <v>303750</v>
          </cell>
          <cell r="G96">
            <v>1482852500</v>
          </cell>
          <cell r="H96">
            <v>0</v>
          </cell>
          <cell r="I96">
            <v>0</v>
          </cell>
          <cell r="J96">
            <v>305.27</v>
          </cell>
          <cell r="K96">
            <v>1919115000</v>
          </cell>
          <cell r="L96">
            <v>305.27</v>
          </cell>
          <cell r="M96">
            <v>0</v>
          </cell>
        </row>
        <row r="97">
          <cell r="B97" t="str">
            <v>Kegiatan Optimalisasi Pengelolaan Dan Pemasaran Hasil
Perikanan</v>
          </cell>
          <cell r="C97" t="str">
            <v>Jumlah Sarana prasarana pokok
dan Pendukung Industri perikanan yang dibangun/direhab/diadakan (Unit)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20</v>
          </cell>
          <cell r="K97">
            <v>1426630000</v>
          </cell>
          <cell r="L97">
            <v>20</v>
          </cell>
          <cell r="M97">
            <v>0</v>
          </cell>
        </row>
        <row r="98">
          <cell r="B98" t="str">
            <v>DPMPTSP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 t="str">
            <v>Program Peningkatan Promosi dan Kerjasama Investasi</v>
          </cell>
          <cell r="C99" t="str">
            <v>- persentase jumlah promosi yang dilaksanakan
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H99">
            <v>0</v>
          </cell>
          <cell r="I99">
            <v>0</v>
          </cell>
          <cell r="J99">
            <v>0</v>
          </cell>
          <cell r="K99">
            <v>543029000</v>
          </cell>
          <cell r="L99">
            <v>0</v>
          </cell>
          <cell r="M99">
            <v>557902300</v>
          </cell>
        </row>
        <row r="100">
          <cell r="B100" t="str">
            <v>Kegiatan Penyelenggaraan Pameran Investasi</v>
          </cell>
          <cell r="C100" t="str">
            <v>Jumlah keikutsertaan pameran
investasi tingkat propinsi
regional dan nasional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331030000</v>
          </cell>
          <cell r="L100">
            <v>0</v>
          </cell>
          <cell r="M100">
            <v>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H101">
            <v>0</v>
          </cell>
          <cell r="I101">
            <v>0</v>
          </cell>
          <cell r="J101">
            <v>0</v>
          </cell>
          <cell r="K101">
            <v>237077000</v>
          </cell>
          <cell r="L101">
            <v>0</v>
          </cell>
          <cell r="M101">
            <v>519097000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73879000</v>
          </cell>
          <cell r="L102">
            <v>0</v>
          </cell>
          <cell r="M102">
            <v>0</v>
          </cell>
        </row>
        <row r="103">
          <cell r="B103" t="str">
            <v>Penyusunan Cetak Biru (Master Plan) Pengembangan Penanaman Modal</v>
          </cell>
          <cell r="C103" t="str">
            <v>Database bidang penanaman
modal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84596000</v>
          </cell>
          <cell r="L103">
            <v>0</v>
          </cell>
          <cell r="M103">
            <v>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</sheetData>
      <sheetData sheetId="9">
        <row r="3">
          <cell r="B3" t="str">
            <v>Program Pendidikan Anak Usia Dini</v>
          </cell>
          <cell r="C3" t="str">
            <v>APK PAUD formal dan Non Formal</v>
          </cell>
          <cell r="D3">
            <v>0.39</v>
          </cell>
          <cell r="E3">
            <v>3485152500</v>
          </cell>
          <cell r="F3">
            <v>0.44</v>
          </cell>
          <cell r="G3">
            <v>22097497500</v>
          </cell>
          <cell r="H3">
            <v>0.49</v>
          </cell>
          <cell r="I3">
            <v>14843297500</v>
          </cell>
          <cell r="J3">
            <v>0.54</v>
          </cell>
          <cell r="K3">
            <v>19009952500</v>
          </cell>
          <cell r="L3">
            <v>0.59</v>
          </cell>
          <cell r="M3">
            <v>18809952500</v>
          </cell>
          <cell r="N3">
            <v>0.64</v>
          </cell>
          <cell r="O3">
            <v>14118642500</v>
          </cell>
        </row>
        <row r="4">
          <cell r="B4" t="str">
            <v>Program Wajib Belajar Pendidikan Dasar Sembilan Tahun</v>
          </cell>
          <cell r="C4" t="str">
            <v>Peningkatan
AK,AM,APK,
APM,APS,
Penurunan
APtS</v>
          </cell>
          <cell r="D4" t="str">
            <v>- AK SD 99,24, AK SMP 98,58,
-AM SD 89,81, AM SMP
92,90
'- APK SD 107,8, APK SMP 102,03
- APM SD 99,02, APM SMP 80,80
- APS 7-12 tahun 95,08
- APS 13-15 tahun 96,56
- APtS SD 0,07, APtS SMP 0,47</v>
          </cell>
          <cell r="E4">
            <v>92125222831</v>
          </cell>
          <cell r="F4" t="str">
            <v>- AK SD 99,34, AK SMP
98,70, 
- AM SD 89,96, AM SMP 93,16
'- APK SD 108,3, APK SMP 103,02
- APM SD 99,03, APM SMP 80,96 
- APS 7-12 tahun 95,76
- APS 13-15 tahun 96,41
- APtS SD 0,25, APtS SMP 0,44</v>
          </cell>
          <cell r="G4">
            <v>55852756420</v>
          </cell>
          <cell r="H4" t="str">
            <v>- AK SD 99,44, AK SMP
98,87, AM SD 90,22, AM SMP 93,54
- APK SD 108,6, APK SMP 104,03
- APM SD 99,10, APM SMP 81,34
- APS 7-12 tahun 95,22
- APS 13-15 tahun 96,44
- APtS SD 0,23 APtS SMP 0,39</v>
          </cell>
          <cell r="I4">
            <v>84451496662</v>
          </cell>
          <cell r="J4" t="str">
            <v>- AK SD 99,54, AK SMP
99,05, AM SD 90,06, AM
SMP 95,68
- APK SD 108,9, APK SMP 105,04
- APM SD 99,20, APM SMP 81,51
- APS 7-12 tahun 95,67
- APS 13-15 tahun 96,46
- APtS SD 0,21
- APtS SMP 0,35</v>
          </cell>
          <cell r="K4">
            <v>88145130928</v>
          </cell>
          <cell r="L4" t="str">
            <v>- AK SD 99,62, AK SMP 99,13, 
- AM SD 90,08, AM SMP 96,49
- APK SD 109,2, APK SMP 106,06
- APM SD 99,25, APM SMP 81,58
- APS 7-12 tahun 96,13
- APS 13-15 tahun 96,50
- APtS SD 0,19, APtS
SMP 0,32</v>
          </cell>
          <cell r="M4">
            <v>88137598620</v>
          </cell>
          <cell r="N4" t="str">
            <v>- AK SD 99,70, AK SMP
99,46, 
- AM SD 91,09, AM SMP 96,75
- APK SD 109,7, APK SMP 107,50
- APM SD 99,30, APM SMP 81,90
- APS 7-12 tahun 96,05
- APS 13-15 tahun 97,22
- APtS SD 0,17
- APtS SMP 0,26</v>
          </cell>
          <cell r="O4">
            <v>79316069082</v>
          </cell>
        </row>
        <row r="5">
          <cell r="B5" t="str">
            <v>Program Pendidikan Non Formal</v>
          </cell>
          <cell r="C5" t="str">
            <v>ANGKA MELEK HURUF</v>
          </cell>
          <cell r="D5">
            <v>97.15</v>
          </cell>
          <cell r="E5">
            <v>105080000</v>
          </cell>
          <cell r="F5">
            <v>97.24</v>
          </cell>
          <cell r="G5">
            <v>317025000</v>
          </cell>
          <cell r="H5">
            <v>97.33</v>
          </cell>
          <cell r="I5">
            <v>309825000</v>
          </cell>
          <cell r="J5">
            <v>97.42</v>
          </cell>
          <cell r="K5">
            <v>305775000</v>
          </cell>
          <cell r="L5">
            <v>97.52</v>
          </cell>
          <cell r="M5">
            <v>300825000</v>
          </cell>
          <cell r="N5">
            <v>97.55</v>
          </cell>
          <cell r="O5">
            <v>296250000</v>
          </cell>
        </row>
        <row r="6">
          <cell r="B6" t="str">
            <v>Program Peningkatan Mutu Pendidik dan Tenaga Kependidikan</v>
          </cell>
          <cell r="C6" t="str">
            <v>Persentase Peningkatan mutu guru</v>
          </cell>
          <cell r="D6" t="str">
            <v>- Guru bersertifikat 55%,
- Guru berkualifikasi S1 81%,
- Rasio guru:murid SD 32, Rasio guru:murid SMP 36</v>
          </cell>
          <cell r="E6">
            <v>942202000</v>
          </cell>
          <cell r="F6" t="str">
            <v>- Guru bersertifikat 62%,
- Guru berkualifikasi S1 86%,
- Rasio guru:murid SD 32, Rasio guru:murid SMP 36</v>
          </cell>
          <cell r="G6">
            <v>1713803000</v>
          </cell>
          <cell r="H6" t="str">
            <v>- Guru bersertifikat 73%,
- Guru berkualifikasi S1 89%,
- Rasio guru:murid SD 32, Rasio guru:murid SMP 36</v>
          </cell>
          <cell r="I6">
            <v>1732834100</v>
          </cell>
          <cell r="J6" t="str">
            <v>- Guru bersertifikat 87%,
- Guru berkualifikasi S1 92%,
- Rasio guru:murid SD 32, Rasio guru:murid SMP 36</v>
          </cell>
          <cell r="K6">
            <v>2262568310</v>
          </cell>
          <cell r="L6" t="str">
            <v>- Guru bersertifikat 96%,
- Guru berkualifikasi S1 95%,
- Rasio guru:murid SD 32, Rasio guru:murid SMP 36</v>
          </cell>
          <cell r="M6">
            <v>2285595941</v>
          </cell>
          <cell r="N6" t="str">
            <v>- Guru bersertifikat 98%,
- Guru berkualifikasi S1 100%,
- Rasio guru:murid SD 32, Rasio guru:murid SMP 36</v>
          </cell>
          <cell r="O6">
            <v>2310926334</v>
          </cell>
        </row>
        <row r="7">
          <cell r="B7" t="str">
            <v>Program Manajemen Pelayanan Pendidikan</v>
          </cell>
          <cell r="C7" t="str">
            <v>Persentase angka
partisipasi pendidikan
tinggi</v>
          </cell>
          <cell r="D7">
            <v>0</v>
          </cell>
          <cell r="E7">
            <v>6132650000</v>
          </cell>
          <cell r="F7">
            <v>0.2</v>
          </cell>
          <cell r="G7">
            <v>21134250000</v>
          </cell>
          <cell r="H7">
            <v>0.2</v>
          </cell>
          <cell r="I7">
            <v>23452250000</v>
          </cell>
          <cell r="J7">
            <v>0.2</v>
          </cell>
          <cell r="K7">
            <v>25497050000</v>
          </cell>
          <cell r="L7">
            <v>0.2</v>
          </cell>
          <cell r="M7">
            <v>27979050000</v>
          </cell>
          <cell r="N7">
            <v>0.2</v>
          </cell>
          <cell r="O7">
            <v>28777050000</v>
          </cell>
        </row>
        <row r="8">
          <cell r="B8" t="str">
            <v>DINAS KESEHATAN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Program Standarisasi Pelayanan Kesehatan</v>
          </cell>
          <cell r="C9" t="str">
            <v>Peningkatan Pelayanan Standarisasi Kesehatan</v>
          </cell>
          <cell r="D9" t="str">
            <v>15 PKM</v>
          </cell>
          <cell r="E9">
            <v>13826636100</v>
          </cell>
          <cell r="F9" t="str">
            <v>17 PKM</v>
          </cell>
          <cell r="G9">
            <v>5964590750</v>
          </cell>
          <cell r="H9" t="str">
            <v>17 PKM</v>
          </cell>
          <cell r="I9">
            <v>6031791325</v>
          </cell>
          <cell r="J9" t="str">
            <v>17 PKM</v>
          </cell>
          <cell r="K9">
            <v>5851070457.5</v>
          </cell>
          <cell r="L9" t="str">
            <v>17 PKM</v>
          </cell>
          <cell r="M9">
            <v>5670677503.25</v>
          </cell>
          <cell r="N9" t="str">
            <v>17 PKM</v>
          </cell>
          <cell r="O9">
            <v>5686745253.5799999</v>
          </cell>
        </row>
        <row r="10">
          <cell r="B10" t="str">
            <v>Program pengadaan, peningkatan dan perbaikan sarana dan prasarana puskesmas/ puskemas pembantu dan jaringannya</v>
          </cell>
          <cell r="C10" t="str">
            <v>Peningkatan dan Perbaikan Sarana dan
Prasarana Puskesmas/Puskesmas Pembantu dan Jaringannya</v>
          </cell>
          <cell r="D10">
            <v>0.65</v>
          </cell>
          <cell r="E10">
            <v>23200393712</v>
          </cell>
          <cell r="F10" t="str">
            <v>17 PKM</v>
          </cell>
          <cell r="G10">
            <v>4800000000</v>
          </cell>
          <cell r="H10" t="str">
            <v>17 PKM</v>
          </cell>
          <cell r="I10">
            <v>7880000000</v>
          </cell>
          <cell r="J10" t="str">
            <v>17 PKM</v>
          </cell>
          <cell r="K10">
            <v>18005955000</v>
          </cell>
          <cell r="L10" t="str">
            <v>17 PKM</v>
          </cell>
          <cell r="M10">
            <v>17310000000</v>
          </cell>
          <cell r="N10" t="str">
            <v>17 PKM</v>
          </cell>
          <cell r="O10">
            <v>17310000000</v>
          </cell>
        </row>
        <row r="11">
          <cell r="B11" t="str">
            <v>Program kemitraan peningkatan pelayanan kesehatan</v>
          </cell>
          <cell r="C11" t="str">
            <v>Peningkatan Pelayanan kesehatan</v>
          </cell>
          <cell r="D11" t="str">
            <v>40.865 JIWA</v>
          </cell>
          <cell r="E11">
            <v>19007835500</v>
          </cell>
          <cell r="F11" t="str">
            <v>68736 JIWA</v>
          </cell>
          <cell r="G11">
            <v>19475136000</v>
          </cell>
          <cell r="H11" t="str">
            <v>68736 JIWA</v>
          </cell>
          <cell r="I11">
            <v>19475136000</v>
          </cell>
          <cell r="J11" t="str">
            <v>68736 JIWA</v>
          </cell>
          <cell r="K11">
            <v>19475136000</v>
          </cell>
          <cell r="L11" t="str">
            <v>68736 JIWA</v>
          </cell>
          <cell r="M11">
            <v>19475136000</v>
          </cell>
          <cell r="N11" t="str">
            <v>68736 JIWA</v>
          </cell>
          <cell r="O11" t="str">
            <v xml:space="preserve">19.475.136.000,00
</v>
          </cell>
        </row>
        <row r="12">
          <cell r="B12" t="str">
            <v>Program Pengadaan, Peningkatan Sarana Dan Prasarana Rumah Sakit/ Rumah Sakit Jiwa/Rumah Sakit Paru-Paru/  Rumah Sakit Mata</v>
          </cell>
          <cell r="C12" t="str">
            <v>Peningkatan Sarana dan Prasarana
Rumah Sakit</v>
          </cell>
          <cell r="D12">
            <v>0</v>
          </cell>
          <cell r="E12">
            <v>0</v>
          </cell>
          <cell r="F12">
            <v>0</v>
          </cell>
          <cell r="G12">
            <v>1430000000</v>
          </cell>
          <cell r="H12">
            <v>0</v>
          </cell>
          <cell r="I12">
            <v>16000000000</v>
          </cell>
          <cell r="J12">
            <v>0</v>
          </cell>
          <cell r="K12">
            <v>12680000000</v>
          </cell>
          <cell r="L12">
            <v>0</v>
          </cell>
          <cell r="M12">
            <v>18000000000</v>
          </cell>
          <cell r="N12">
            <v>0</v>
          </cell>
          <cell r="O12">
            <v>10550000000</v>
          </cell>
        </row>
        <row r="13">
          <cell r="B13" t="str">
            <v>DINAS PU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B14" t="str">
            <v>Program pembangunan jalan dan jembatan</v>
          </cell>
          <cell r="C14" t="str">
            <v>Persentase Jalan kondisi baik</v>
          </cell>
          <cell r="D14">
            <v>0.95</v>
          </cell>
          <cell r="E14">
            <v>184765789200</v>
          </cell>
          <cell r="F14">
            <v>0.95</v>
          </cell>
          <cell r="G14">
            <v>152541500000</v>
          </cell>
          <cell r="H14">
            <v>0.95</v>
          </cell>
          <cell r="I14">
            <v>176041500000</v>
          </cell>
          <cell r="J14">
            <v>0.95</v>
          </cell>
          <cell r="K14">
            <v>193041500000</v>
          </cell>
          <cell r="L14">
            <v>0.95</v>
          </cell>
          <cell r="M14">
            <v>204041500000</v>
          </cell>
          <cell r="N14">
            <v>0.95</v>
          </cell>
          <cell r="O14">
            <v>415041500000</v>
          </cell>
        </row>
        <row r="15">
          <cell r="B15" t="str">
            <v>Program Pengembangan dan Pengelolaan Jaringan Irigasi, Rawa dan Jaringan Pengairan lainnya</v>
          </cell>
          <cell r="C15" t="str">
            <v>Rasio Jaringan irigasi</v>
          </cell>
          <cell r="D15">
            <v>2.06</v>
          </cell>
          <cell r="E15">
            <v>28582733200</v>
          </cell>
          <cell r="F15">
            <v>2.95</v>
          </cell>
          <cell r="G15">
            <v>39979540000</v>
          </cell>
          <cell r="H15">
            <v>2.95</v>
          </cell>
          <cell r="I15">
            <v>45304540000</v>
          </cell>
          <cell r="J15">
            <v>2.95</v>
          </cell>
          <cell r="K15">
            <v>46893430000</v>
          </cell>
          <cell r="L15">
            <v>3.39</v>
          </cell>
          <cell r="M15">
            <v>50943430000</v>
          </cell>
          <cell r="N15">
            <v>3.39</v>
          </cell>
          <cell r="O15">
            <v>56693430000</v>
          </cell>
        </row>
        <row r="16">
          <cell r="B16" t="str">
            <v>DINAS PERTANIAN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Program peningkatan produksi hasil peternakan</v>
          </cell>
          <cell r="C17" t="str">
            <v>Jumlah Populasi Ternak</v>
          </cell>
          <cell r="D17" t="str">
            <v>Ternak Besar =15.339 ekor, Ternak Kecil = 28.024 ekor, unggas = 444.798 ekor</v>
          </cell>
          <cell r="E17">
            <v>203470000</v>
          </cell>
          <cell r="F17" t="str">
            <v>Ternak Besar =15.829 ekor, Ternak Kecil = 29.591 ekor, unggas = 453.693 ekor</v>
          </cell>
          <cell r="G17">
            <v>4714885000</v>
          </cell>
          <cell r="H17" t="str">
            <v>Ternak Besar =17.818
ekor, Ternak Kecil = 31.257 ekor, unggas = 462.767 ekor</v>
          </cell>
          <cell r="I17">
            <v>3845000000</v>
          </cell>
          <cell r="J17" t="str">
            <v>Ternak Besar = 20.302 ekor, Ternak Kecil = 33.027 ekor, unggas = 472.023 ekor</v>
          </cell>
          <cell r="K17">
            <v>3851000000</v>
          </cell>
          <cell r="L17" t="str">
            <v>Ternak Besar =22.780 ekor, Ternak Kecil = 34.910 ekor, unggas = 481.463 ekor</v>
          </cell>
          <cell r="M17">
            <v>4857000000</v>
          </cell>
          <cell r="N17" t="str">
            <v>Ternak Besar = 25.252 ekor, Ternak Kecil = 36.913 ekor, unggas = 491.092 ekor</v>
          </cell>
          <cell r="O17">
            <v>4813000000</v>
          </cell>
        </row>
        <row r="18">
          <cell r="B18" t="str">
            <v>Program Pengembangan Prasarana dan Sarana Pertanian</v>
          </cell>
          <cell r="C18" t="str">
            <v>Jumlah alsintan yang
diadakan (unit), panjang jides yang
terbangun (km), luas
cetak sawah baru (ha)</v>
          </cell>
          <cell r="D18" t="str">
            <v>0</v>
          </cell>
          <cell r="E18">
            <v>0</v>
          </cell>
          <cell r="F18" t="str">
            <v>alsintan = 100 unit, jides =
4 km, luas cetak sawah baru = 0 ha</v>
          </cell>
          <cell r="G18">
            <v>9623256500</v>
          </cell>
          <cell r="H18" t="str">
            <v>alsintan = 200 unit, jides =
6 km, luas cetak sawah baru = 0 ha</v>
          </cell>
          <cell r="I18">
            <v>15980000000</v>
          </cell>
          <cell r="J18" t="str">
            <v>alsintan = 352 unit, jides =
6 km, luas cetak sawah baru = 500 ha</v>
          </cell>
          <cell r="K18">
            <v>28570000000</v>
          </cell>
          <cell r="L18" t="str">
            <v>alsintan = 352 unit, jides =
6 km, luas cetak sawah baru = 500 ha</v>
          </cell>
          <cell r="M18">
            <v>31460233250</v>
          </cell>
          <cell r="N18" t="str">
            <v>alsintan = 0 unit, jides =
6 km, luas cetak sawah baru = 0 ha</v>
          </cell>
          <cell r="O18">
            <v>7009000000</v>
          </cell>
        </row>
        <row r="19">
          <cell r="B19" t="str">
            <v>Program Peningkatan Produksi Tanaman Perkebunan</v>
          </cell>
          <cell r="C19" t="str">
            <v>Jumlah produksi Perkebunan</v>
          </cell>
          <cell r="D19">
            <v>0</v>
          </cell>
          <cell r="E19">
            <v>0</v>
          </cell>
          <cell r="F19" t="str">
            <v>Kakao = 13.597 ton, Lada = 4.094 ton, Kelapa sawit = 258.364 ton</v>
          </cell>
          <cell r="G19">
            <v>11368350000</v>
          </cell>
          <cell r="H19" t="str">
            <v>Kakao = 16.147 ton, Lada = 4.301 ton, Kelapa sawit = 285.102 ton</v>
          </cell>
          <cell r="I19">
            <v>20488585500</v>
          </cell>
          <cell r="J19" t="str">
            <v>Kakao = 17.996 ton, Lada= 4.336 ton, Kelapa sawit =
304.621 ton</v>
          </cell>
          <cell r="K19">
            <v>24189952200</v>
          </cell>
          <cell r="L19" t="str">
            <v>Kakao = 19.996 ton, Lada= 4.449 ton, Kelapa sawit =
328.318 ton</v>
          </cell>
          <cell r="M19">
            <v>26995000000</v>
          </cell>
          <cell r="N19" t="str">
            <v>Kakao = 22.496 ton, Lada= 5.548 ton, Kelapa sawit =
346.558 ton</v>
          </cell>
          <cell r="O19">
            <v>3860000000</v>
          </cell>
          <cell r="P19">
            <v>0</v>
          </cell>
        </row>
        <row r="20">
          <cell r="B20" t="str">
            <v>DINAS KELAUTAN DAN PERIKANAN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Program Pengembangan Budidaya Perikanan</v>
          </cell>
          <cell r="C21" t="str">
            <v>Jumlah produksi
Perikanan Budidaya (ton)</v>
          </cell>
          <cell r="D21">
            <v>44210</v>
          </cell>
          <cell r="E21">
            <v>606927500</v>
          </cell>
          <cell r="F21">
            <v>45497</v>
          </cell>
          <cell r="G21">
            <v>8010023625</v>
          </cell>
          <cell r="H21">
            <v>46785</v>
          </cell>
          <cell r="I21">
            <v>5502899806.25</v>
          </cell>
          <cell r="J21">
            <v>48073</v>
          </cell>
          <cell r="K21">
            <v>5791788546.5600004</v>
          </cell>
          <cell r="L21">
            <v>49360</v>
          </cell>
          <cell r="M21">
            <v>3998077973.8899999</v>
          </cell>
          <cell r="N21">
            <v>50648</v>
          </cell>
          <cell r="O21">
            <v>459656872.58999997</v>
          </cell>
        </row>
        <row r="22">
          <cell r="B22" t="str">
            <v>Program pengembangan perikanan tangkap</v>
          </cell>
          <cell r="C22" t="str">
            <v>Jumlah produksi Perikanan Tangkap (ton)</v>
          </cell>
          <cell r="D22">
            <v>8702.2999999999993</v>
          </cell>
          <cell r="E22">
            <v>8900829300</v>
          </cell>
          <cell r="F22">
            <v>8745.59</v>
          </cell>
          <cell r="G22">
            <v>11850000000</v>
          </cell>
          <cell r="H22">
            <v>8788.89</v>
          </cell>
          <cell r="I22">
            <v>10060000000</v>
          </cell>
          <cell r="J22">
            <v>8832.18</v>
          </cell>
          <cell r="K22">
            <v>7870000000</v>
          </cell>
          <cell r="L22">
            <v>8875.48</v>
          </cell>
          <cell r="M22">
            <v>1885000000</v>
          </cell>
          <cell r="N22">
            <v>8918.77</v>
          </cell>
          <cell r="O22">
            <v>0</v>
          </cell>
        </row>
        <row r="23">
          <cell r="B23" t="str">
            <v>Program Optimalisasi pengelolaan dan pemasaran produksi perikanan</v>
          </cell>
          <cell r="C23" t="str">
            <v>Jumlah produksi
Pengolahan
ikan  (ton)</v>
          </cell>
          <cell r="D23">
            <v>303.75</v>
          </cell>
          <cell r="E23">
            <v>1687026200</v>
          </cell>
          <cell r="F23">
            <v>305.27</v>
          </cell>
          <cell r="G23">
            <v>485000000</v>
          </cell>
          <cell r="H23">
            <v>306.8</v>
          </cell>
          <cell r="I23">
            <v>490000000</v>
          </cell>
          <cell r="J23">
            <v>308.33</v>
          </cell>
          <cell r="K23">
            <v>495000000</v>
          </cell>
          <cell r="L23">
            <v>309.87</v>
          </cell>
          <cell r="M23">
            <v>245000000</v>
          </cell>
          <cell r="N23">
            <v>311.42</v>
          </cell>
          <cell r="O23">
            <v>245000000</v>
          </cell>
        </row>
        <row r="24">
          <cell r="B24" t="str">
            <v>DPMPTSP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Program Peningkatan Iklim Investasi dan Realisasi Investasi</v>
          </cell>
          <cell r="C25" t="str">
            <v>Jumlah minat dan rencana investasi</v>
          </cell>
          <cell r="D25">
            <v>30</v>
          </cell>
          <cell r="E25">
            <v>91747600</v>
          </cell>
          <cell r="F25">
            <v>35</v>
          </cell>
          <cell r="G25">
            <v>425000000</v>
          </cell>
          <cell r="H25">
            <v>36</v>
          </cell>
          <cell r="I25">
            <v>746900000</v>
          </cell>
          <cell r="J25">
            <v>37</v>
          </cell>
          <cell r="K25">
            <v>519097000</v>
          </cell>
          <cell r="L25">
            <v>38</v>
          </cell>
          <cell r="M25">
            <v>381599000</v>
          </cell>
          <cell r="N25">
            <v>39</v>
          </cell>
          <cell r="O25">
            <v>394416000</v>
          </cell>
        </row>
        <row r="26">
          <cell r="B26" t="str">
            <v>Program Peningkatan Promosi dan Kerjasama Investasi</v>
          </cell>
          <cell r="C26" t="str">
            <v>Nilai investasi
PMA $ dan PMDN Rp.</v>
          </cell>
          <cell r="D26" t="str">
            <v>Rp520.000.0000.000(PMDN) 
$13.300.000(PMA)</v>
          </cell>
          <cell r="E26">
            <v>334386400</v>
          </cell>
          <cell r="F26" t="str">
            <v>Rp550.000.0000.000(PMDN) 
$13.500.000(PMA)</v>
          </cell>
          <cell r="G26">
            <v>495062000</v>
          </cell>
          <cell r="H26" t="str">
            <v>Rp580.000.0000.000 (PMDN) 
$13.800.000 (PMA)</v>
          </cell>
          <cell r="I26">
            <v>526313000</v>
          </cell>
          <cell r="J26" t="str">
            <v>Rp600.000.0000.000 (PMDN) 
$14.000.000 (PMA)</v>
          </cell>
          <cell r="K26">
            <v>557902300</v>
          </cell>
          <cell r="L26" t="str">
            <v>Rp620.000.0000.000 (PMDN) 
$14.200.000 (PMA)</v>
          </cell>
          <cell r="M26">
            <v>589838519</v>
          </cell>
          <cell r="N26" t="str">
            <v>Rp650.000.0000.000 (PMDN) 
$14.400.000 (PMA)</v>
          </cell>
          <cell r="O26">
            <v>607533000</v>
          </cell>
        </row>
        <row r="27">
          <cell r="B27" t="str">
            <v>Program Pengawasan dan Pengendalian PM dan PTSP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</sheetData>
      <sheetData sheetId="10">
        <row r="3">
          <cell r="B3" t="str">
            <v>Program Pendidikan Anak Usia Dini</v>
          </cell>
          <cell r="C3" t="str">
            <v>Rasio ketersediaan sekolah terhadap pendududuk usia TK/PAUD (sek/10.000 penduduk)</v>
          </cell>
          <cell r="D3">
            <v>0</v>
          </cell>
          <cell r="E3">
            <v>0</v>
          </cell>
          <cell r="F3">
            <v>0</v>
          </cell>
          <cell r="G3">
            <v>1559495000</v>
          </cell>
          <cell r="H3">
            <v>0</v>
          </cell>
          <cell r="I3">
            <v>2604544000</v>
          </cell>
          <cell r="J3">
            <v>0.54</v>
          </cell>
          <cell r="K3">
            <v>19009952500</v>
          </cell>
          <cell r="L3">
            <v>0.59</v>
          </cell>
          <cell r="M3">
            <v>18809952500</v>
          </cell>
          <cell r="N3">
            <v>0.64</v>
          </cell>
          <cell r="O3">
            <v>14118642500</v>
          </cell>
        </row>
        <row r="4">
          <cell r="B4" t="str">
            <v>Program Wajib Belajar Pendidikan Dasar Sembilan Tahun</v>
          </cell>
          <cell r="C4" t="str">
            <v>Sekolah Pendidikan SMP/MTs dan SMA/SMK/MA kondisi Bangunan Baik (unit)</v>
          </cell>
          <cell r="D4">
            <v>80</v>
          </cell>
          <cell r="E4">
            <v>0</v>
          </cell>
          <cell r="F4">
            <v>84</v>
          </cell>
          <cell r="G4">
            <v>88822422831</v>
          </cell>
          <cell r="H4">
            <v>86</v>
          </cell>
          <cell r="I4">
            <v>95753620420</v>
          </cell>
          <cell r="J4">
            <v>88</v>
          </cell>
          <cell r="K4">
            <v>121</v>
          </cell>
          <cell r="L4">
            <v>92</v>
          </cell>
          <cell r="M4">
            <v>146879472286</v>
          </cell>
          <cell r="N4">
            <v>94</v>
          </cell>
          <cell r="O4">
            <v>160682790811</v>
          </cell>
        </row>
        <row r="5">
          <cell r="B5">
            <v>0</v>
          </cell>
          <cell r="C5" t="str">
            <v>% SD Memiliki Gedung Perpustakaan (%)</v>
          </cell>
          <cell r="D5">
            <v>20</v>
          </cell>
          <cell r="E5">
            <v>0</v>
          </cell>
          <cell r="F5">
            <v>20</v>
          </cell>
          <cell r="G5">
            <v>0</v>
          </cell>
          <cell r="H5">
            <v>50</v>
          </cell>
          <cell r="I5">
            <v>0</v>
          </cell>
          <cell r="J5">
            <v>65</v>
          </cell>
          <cell r="K5">
            <v>0</v>
          </cell>
          <cell r="L5">
            <v>80</v>
          </cell>
          <cell r="M5">
            <v>0</v>
          </cell>
          <cell r="N5">
            <v>90</v>
          </cell>
          <cell r="O5">
            <v>0</v>
          </cell>
        </row>
        <row r="6">
          <cell r="B6">
            <v>0</v>
          </cell>
          <cell r="C6" t="str">
            <v>Sekolah Pendidikan SD/MI kondisi bangunan baik (unit)</v>
          </cell>
          <cell r="D6">
            <v>122</v>
          </cell>
          <cell r="E6">
            <v>0</v>
          </cell>
          <cell r="F6">
            <v>135</v>
          </cell>
          <cell r="G6">
            <v>0</v>
          </cell>
          <cell r="H6">
            <v>145</v>
          </cell>
          <cell r="I6">
            <v>0</v>
          </cell>
          <cell r="J6">
            <v>155</v>
          </cell>
          <cell r="K6">
            <v>0</v>
          </cell>
          <cell r="L6">
            <v>160</v>
          </cell>
          <cell r="M6">
            <v>0</v>
          </cell>
          <cell r="N6">
            <v>176</v>
          </cell>
          <cell r="O6">
            <v>0</v>
          </cell>
        </row>
        <row r="7">
          <cell r="B7">
            <v>0</v>
          </cell>
          <cell r="C7" t="str">
            <v>Rasio ketersediaan sekolah terhadap pendududuk usia SD/MI (sek/10.000 pddk)</v>
          </cell>
          <cell r="D7">
            <v>51.98</v>
          </cell>
          <cell r="E7">
            <v>0</v>
          </cell>
          <cell r="F7">
            <v>51.98</v>
          </cell>
          <cell r="G7">
            <v>0</v>
          </cell>
          <cell r="H7">
            <v>52.17</v>
          </cell>
          <cell r="I7">
            <v>0</v>
          </cell>
          <cell r="J7">
            <v>52.43</v>
          </cell>
          <cell r="K7">
            <v>0</v>
          </cell>
          <cell r="L7">
            <v>52.55</v>
          </cell>
          <cell r="M7">
            <v>0</v>
          </cell>
          <cell r="N7">
            <v>52.56</v>
          </cell>
          <cell r="O7">
            <v>0</v>
          </cell>
        </row>
        <row r="8">
          <cell r="B8">
            <v>0</v>
          </cell>
          <cell r="C8" t="str">
            <v>% SMP Memiliki Gedung Perpustakaan (%)</v>
          </cell>
          <cell r="D8">
            <v>50</v>
          </cell>
          <cell r="E8">
            <v>0</v>
          </cell>
          <cell r="F8">
            <v>50</v>
          </cell>
          <cell r="G8">
            <v>0</v>
          </cell>
          <cell r="H8">
            <v>65</v>
          </cell>
          <cell r="I8">
            <v>0</v>
          </cell>
          <cell r="J8">
            <v>80</v>
          </cell>
          <cell r="K8">
            <v>0</v>
          </cell>
          <cell r="L8">
            <v>95</v>
          </cell>
          <cell r="M8">
            <v>0</v>
          </cell>
          <cell r="N8">
            <v>98</v>
          </cell>
          <cell r="O8">
            <v>0</v>
          </cell>
        </row>
        <row r="9">
          <cell r="B9">
            <v>0</v>
          </cell>
          <cell r="C9" t="str">
            <v>% SMP Memiliki Lab.Komputer (%)</v>
          </cell>
          <cell r="D9">
            <v>50</v>
          </cell>
          <cell r="E9">
            <v>0</v>
          </cell>
          <cell r="F9">
            <v>50</v>
          </cell>
          <cell r="G9">
            <v>0</v>
          </cell>
          <cell r="H9">
            <v>60</v>
          </cell>
          <cell r="I9">
            <v>0</v>
          </cell>
          <cell r="J9">
            <v>70</v>
          </cell>
          <cell r="K9">
            <v>0</v>
          </cell>
          <cell r="L9">
            <v>78</v>
          </cell>
          <cell r="M9">
            <v>0</v>
          </cell>
          <cell r="N9">
            <v>80</v>
          </cell>
          <cell r="O9">
            <v>0</v>
          </cell>
        </row>
        <row r="10">
          <cell r="B10">
            <v>0</v>
          </cell>
          <cell r="C10" t="str">
            <v>Rasio ketersediaan sekolah terhadap pendududuk usia SMP/MTs (sek/10.000 penduduk)</v>
          </cell>
          <cell r="D10">
            <v>41.85</v>
          </cell>
          <cell r="E10">
            <v>0</v>
          </cell>
          <cell r="F10">
            <v>42.3</v>
          </cell>
          <cell r="G10">
            <v>0</v>
          </cell>
          <cell r="H10">
            <v>42.49</v>
          </cell>
          <cell r="I10">
            <v>0</v>
          </cell>
          <cell r="J10">
            <v>43.05</v>
          </cell>
          <cell r="K10">
            <v>0</v>
          </cell>
          <cell r="L10">
            <v>43.33</v>
          </cell>
          <cell r="M10">
            <v>0</v>
          </cell>
          <cell r="N10">
            <v>43.49</v>
          </cell>
          <cell r="O10">
            <v>0</v>
          </cell>
        </row>
        <row r="11">
          <cell r="B11">
            <v>0</v>
          </cell>
          <cell r="C11" t="str">
            <v>% SMP Memiliki Lab. IPA (%)</v>
          </cell>
          <cell r="D11">
            <v>70</v>
          </cell>
          <cell r="E11">
            <v>0</v>
          </cell>
          <cell r="F11">
            <v>70</v>
          </cell>
          <cell r="G11">
            <v>0</v>
          </cell>
          <cell r="H11">
            <v>75</v>
          </cell>
          <cell r="I11">
            <v>0</v>
          </cell>
          <cell r="J11">
            <v>80</v>
          </cell>
          <cell r="K11">
            <v>0</v>
          </cell>
          <cell r="L11">
            <v>85</v>
          </cell>
          <cell r="M11">
            <v>0</v>
          </cell>
          <cell r="N11">
            <v>90</v>
          </cell>
          <cell r="O11">
            <v>0</v>
          </cell>
        </row>
        <row r="12">
          <cell r="B12">
            <v>0</v>
          </cell>
          <cell r="C12" t="str">
            <v>% Ruang Kelas Rusak berkurang (%)</v>
          </cell>
          <cell r="D12">
            <v>15</v>
          </cell>
          <cell r="E12">
            <v>0</v>
          </cell>
          <cell r="F12">
            <v>15</v>
          </cell>
          <cell r="G12">
            <v>0</v>
          </cell>
          <cell r="H12">
            <v>12</v>
          </cell>
          <cell r="I12">
            <v>0</v>
          </cell>
          <cell r="J12">
            <v>10</v>
          </cell>
          <cell r="K12">
            <v>0</v>
          </cell>
          <cell r="L12">
            <v>9</v>
          </cell>
          <cell r="M12">
            <v>0</v>
          </cell>
          <cell r="N12">
            <v>6</v>
          </cell>
          <cell r="O12">
            <v>0</v>
          </cell>
        </row>
        <row r="13">
          <cell r="B13" t="str">
            <v>Program Pendidikan Non Formal</v>
          </cell>
          <cell r="C13" t="str">
            <v>% warga buta aksara yang mengikuti pembelajaran keaksaraan</v>
          </cell>
          <cell r="D13">
            <v>0</v>
          </cell>
          <cell r="E13">
            <v>0</v>
          </cell>
          <cell r="F13">
            <v>0</v>
          </cell>
          <cell r="G13">
            <v>1013632500</v>
          </cell>
          <cell r="H13">
            <v>0</v>
          </cell>
          <cell r="I13">
            <v>860817500</v>
          </cell>
          <cell r="J13">
            <v>30</v>
          </cell>
          <cell r="K13">
            <v>1225401000</v>
          </cell>
          <cell r="L13">
            <v>40</v>
          </cell>
          <cell r="M13">
            <v>1256760000</v>
          </cell>
          <cell r="N13">
            <v>50</v>
          </cell>
          <cell r="O13">
            <v>1167911000</v>
          </cell>
        </row>
        <row r="14">
          <cell r="B14">
            <v>0</v>
          </cell>
          <cell r="C14" t="str">
            <v>% Kelulusan warga belajar mengikuti Kesetaraan kejar paket A,B,C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92</v>
          </cell>
          <cell r="K14">
            <v>0</v>
          </cell>
          <cell r="L14">
            <v>93</v>
          </cell>
          <cell r="M14">
            <v>0</v>
          </cell>
          <cell r="N14">
            <v>99</v>
          </cell>
          <cell r="O14">
            <v>0</v>
          </cell>
        </row>
        <row r="15">
          <cell r="B15" t="str">
            <v>Program Peningkatan Mutu Pendidik dan Tenaga Kependidikan</v>
          </cell>
          <cell r="C15" t="str">
            <v>Persentase Peningkatan mutu guru mata pelajaran (%)</v>
          </cell>
          <cell r="D15">
            <v>0</v>
          </cell>
          <cell r="E15">
            <v>0</v>
          </cell>
          <cell r="F15">
            <v>0</v>
          </cell>
          <cell r="G15">
            <v>672081000</v>
          </cell>
          <cell r="H15">
            <v>0</v>
          </cell>
          <cell r="I15">
            <v>1732834100</v>
          </cell>
          <cell r="J15">
            <v>39</v>
          </cell>
          <cell r="K15">
            <v>2237042100</v>
          </cell>
          <cell r="L15">
            <v>45</v>
          </cell>
          <cell r="M15">
            <v>2285595941</v>
          </cell>
          <cell r="N15">
            <v>55</v>
          </cell>
          <cell r="O15">
            <v>2308445498</v>
          </cell>
        </row>
        <row r="16">
          <cell r="B16" t="str">
            <v>Program Manajemen Pelayanan Pendidikan</v>
          </cell>
          <cell r="C16" t="str">
            <v>Persentase angka
partisipasi pendidikan
tinggi</v>
          </cell>
          <cell r="D16">
            <v>0</v>
          </cell>
          <cell r="E16">
            <v>0</v>
          </cell>
          <cell r="F16">
            <v>0</v>
          </cell>
          <cell r="G16">
            <v>19982650000</v>
          </cell>
          <cell r="H16">
            <v>0.2</v>
          </cell>
          <cell r="I16">
            <v>24992918000</v>
          </cell>
          <cell r="J16">
            <v>0.3</v>
          </cell>
          <cell r="K16">
            <v>25991147800</v>
          </cell>
          <cell r="L16">
            <v>0.4</v>
          </cell>
          <cell r="M16">
            <v>27216997580</v>
          </cell>
          <cell r="N16">
            <v>0.5</v>
          </cell>
          <cell r="O16">
            <v>21784038190</v>
          </cell>
        </row>
        <row r="17">
          <cell r="B17" t="str">
            <v>DINAS KESEHATAN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Program Standarisasi Pelayanan Kesehatan</v>
          </cell>
          <cell r="C18" t="str">
            <v>- Persentase FKTP yang melaksanakan sistem rujukan sesuai standar (%)
- Persentase FKTP yang memberikan pelayanan sesuai standar (%)</v>
          </cell>
          <cell r="D18" t="str">
            <v>- 7
- 50</v>
          </cell>
          <cell r="E18">
            <v>0</v>
          </cell>
          <cell r="F18" t="str">
            <v>- 7
- 50</v>
          </cell>
          <cell r="G18">
            <v>13049940580</v>
          </cell>
          <cell r="H18" t="str">
            <v>- 47
- 75</v>
          </cell>
          <cell r="I18">
            <v>18589653338</v>
          </cell>
          <cell r="J18" t="str">
            <v>- 71
- 80</v>
          </cell>
          <cell r="K18">
            <v>14467053190</v>
          </cell>
          <cell r="L18" t="str">
            <v>- 88
- 88</v>
          </cell>
          <cell r="M18">
            <v>835139250</v>
          </cell>
          <cell r="N18" t="str">
            <v>- 100
- 100</v>
          </cell>
          <cell r="O18">
            <v>918653225</v>
          </cell>
        </row>
        <row r="19">
          <cell r="B19" t="str">
            <v>Program pengadaan, peningkatan dan perbaikan sarana dan prasarana puskesmas/ puskemas pembantu dan jaringannya</v>
          </cell>
          <cell r="C19" t="str">
            <v>Jumlah Puskesmas dan jaringannya yang ditingkatkan kualitasnya (PKM)</v>
          </cell>
          <cell r="D19">
            <v>15</v>
          </cell>
          <cell r="E19">
            <v>0</v>
          </cell>
          <cell r="F19">
            <v>15</v>
          </cell>
          <cell r="G19">
            <v>23513084679</v>
          </cell>
          <cell r="H19">
            <v>17</v>
          </cell>
          <cell r="I19">
            <v>6128973795</v>
          </cell>
          <cell r="J19">
            <v>17</v>
          </cell>
          <cell r="K19">
            <v>12988292500</v>
          </cell>
          <cell r="L19">
            <v>17</v>
          </cell>
          <cell r="M19">
            <v>9324236250</v>
          </cell>
          <cell r="N19">
            <v>17</v>
          </cell>
          <cell r="O19">
            <v>12551159875</v>
          </cell>
        </row>
        <row r="20">
          <cell r="B20" t="str">
            <v>Program kemitraan peningkatan pelayanan kesehatan</v>
          </cell>
          <cell r="C20" t="str">
            <v>Jumlah penduduk yang memiliki jaminan kesehatan (jiwa)</v>
          </cell>
          <cell r="D20">
            <v>150000</v>
          </cell>
          <cell r="E20">
            <v>0</v>
          </cell>
          <cell r="F20">
            <v>150000</v>
          </cell>
          <cell r="G20">
            <v>17723016700</v>
          </cell>
          <cell r="H20">
            <v>153000</v>
          </cell>
          <cell r="I20">
            <v>33172933000</v>
          </cell>
          <cell r="J20">
            <v>241000</v>
          </cell>
          <cell r="K20">
            <v>39730926000</v>
          </cell>
          <cell r="L20">
            <v>245000</v>
          </cell>
          <cell r="M20">
            <v>43977018600</v>
          </cell>
          <cell r="N20">
            <v>280000</v>
          </cell>
          <cell r="O20">
            <v>48324320460</v>
          </cell>
        </row>
        <row r="21">
          <cell r="B21" t="str">
            <v>Program Pengadaan, Peningkatan Sarana Dan Prasarana Rumah Sakit/ Rumah Sakit Jiwa/Rumah Sakit Paru-Paru/  Rumah Sakit Mata</v>
          </cell>
          <cell r="C21" t="str">
            <v>Peningkatan Sarana dan Prasarana Rumah Sakit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708799622</v>
          </cell>
          <cell r="J21">
            <v>0</v>
          </cell>
          <cell r="K21">
            <v>6856540000</v>
          </cell>
          <cell r="L21">
            <v>0</v>
          </cell>
          <cell r="M21">
            <v>12550000000</v>
          </cell>
          <cell r="N21">
            <v>0</v>
          </cell>
          <cell r="O21">
            <v>16100000000</v>
          </cell>
        </row>
        <row r="22">
          <cell r="B22" t="str">
            <v>DINAS PU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 t="str">
            <v>Program pembangunan jalan dan jembatan</v>
          </cell>
          <cell r="C23" t="str">
            <v>Jumlah jembatan dalam kondisi baik (unit)</v>
          </cell>
          <cell r="D23">
            <v>163</v>
          </cell>
          <cell r="E23">
            <v>202114968693</v>
          </cell>
          <cell r="F23">
            <v>173</v>
          </cell>
          <cell r="G23">
            <v>177466055509</v>
          </cell>
          <cell r="H23">
            <v>182</v>
          </cell>
          <cell r="I23">
            <v>155481418640</v>
          </cell>
          <cell r="J23">
            <v>188</v>
          </cell>
          <cell r="K23">
            <v>103000000000</v>
          </cell>
          <cell r="L23">
            <v>194</v>
          </cell>
          <cell r="M23">
            <v>103000000000</v>
          </cell>
          <cell r="N23">
            <v>0</v>
          </cell>
          <cell r="O23">
            <v>0</v>
          </cell>
        </row>
        <row r="24">
          <cell r="B24">
            <v>0</v>
          </cell>
          <cell r="C24" t="str">
            <v>Proporsi panjang jaringan jalan dalam kondisi baik (km)</v>
          </cell>
          <cell r="D24">
            <v>1329.79</v>
          </cell>
          <cell r="E24">
            <v>0</v>
          </cell>
          <cell r="F24">
            <v>1396.28</v>
          </cell>
          <cell r="G24">
            <v>0</v>
          </cell>
          <cell r="H24">
            <v>1466.09</v>
          </cell>
          <cell r="I24">
            <v>0</v>
          </cell>
          <cell r="J24">
            <v>1539.4</v>
          </cell>
          <cell r="K24">
            <v>0</v>
          </cell>
          <cell r="L24">
            <v>1616.37</v>
          </cell>
          <cell r="M24">
            <v>0</v>
          </cell>
          <cell r="N24">
            <v>1697.19</v>
          </cell>
          <cell r="O24">
            <v>0</v>
          </cell>
        </row>
        <row r="25">
          <cell r="B25" t="str">
            <v>Program Pengembangan dan Pengelolaan Jaringan Irigasi, Rawa dan Jaringan Pengairan lainnya</v>
          </cell>
          <cell r="C25" t="str">
            <v>Persentase panjang jaringan irigasi dalam kondisi baik (%)</v>
          </cell>
          <cell r="D25">
            <v>51.21</v>
          </cell>
          <cell r="E25">
            <v>20858270705</v>
          </cell>
          <cell r="F25">
            <v>53.18</v>
          </cell>
          <cell r="G25">
            <v>23772109678</v>
          </cell>
          <cell r="H25">
            <v>54.7</v>
          </cell>
          <cell r="I25">
            <v>31959975610</v>
          </cell>
          <cell r="J25">
            <v>55.76</v>
          </cell>
          <cell r="K25">
            <v>41865230000</v>
          </cell>
          <cell r="L25">
            <v>56.67</v>
          </cell>
          <cell r="M25">
            <v>56815230000</v>
          </cell>
          <cell r="N25">
            <v>0</v>
          </cell>
          <cell r="O25">
            <v>0</v>
          </cell>
        </row>
        <row r="26">
          <cell r="B26">
            <v>0</v>
          </cell>
          <cell r="C26" t="str">
            <v>Persentase panjang jaringan irigasi dalam kondisi baik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B27" t="str">
            <v>DINAS PERTANIAN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B28" t="str">
            <v>Program peningkatan produksi hasil peternakan</v>
          </cell>
          <cell r="C28" t="str">
            <v>Jumlah Populasi Ternak</v>
          </cell>
          <cell r="D28" t="str">
            <v>- Jumlah populasi sapi = 14.010
- Jumlah populasi kambing = 10.326
- Jumlah populasi ayam = 382.503</v>
          </cell>
          <cell r="E28">
            <v>0</v>
          </cell>
          <cell r="F28" t="str">
            <v>- Jumlah populasi sapi = 15.021
- Jumlah populasi kambing = 13.454
- Jumlah populasi ayam = 1.446.811</v>
          </cell>
          <cell r="G28">
            <v>4714885000</v>
          </cell>
          <cell r="H28" t="str">
            <v>- Jumlah populasi sapi = 15.546
- Jumlah populasi kambing = 13.992
- Jumlah populasi ayam = 1.475.747</v>
          </cell>
          <cell r="I28">
            <v>1861154000</v>
          </cell>
          <cell r="J28" t="str">
            <v>- Jumlah populasi sapi = 16.439
- Jumlah populasi kambing = 14.552
- Jumlah populasi ayam = 1.505.262</v>
          </cell>
          <cell r="K28">
            <v>3513726000</v>
          </cell>
          <cell r="L28" t="str">
            <v>- Jumlah populasi sapi = 17.333
- Jumlah populasi kambing = 15.134
- Jumlah populasi ayam = 1.535.367</v>
          </cell>
          <cell r="M28">
            <v>3395000000</v>
          </cell>
          <cell r="N28" t="str">
            <v>- Jumlah populasi sapi = 19.161
- Jumlah populasi kambing = 15.739
- Jumlah populasi ayam = 1.566.075</v>
          </cell>
          <cell r="O28">
            <v>300000000</v>
          </cell>
        </row>
        <row r="29">
          <cell r="B29" t="str">
            <v>Program Pengembangan Prasarana dan Sarana Pertanian</v>
          </cell>
          <cell r="C29" t="str">
            <v>Nilai Indeks Pertanaman Padi (kali)</v>
          </cell>
          <cell r="D29" t="str">
            <v>1,49</v>
          </cell>
          <cell r="E29">
            <v>0</v>
          </cell>
          <cell r="F29">
            <v>0</v>
          </cell>
          <cell r="G29">
            <v>0</v>
          </cell>
          <cell r="H29">
            <v>1500</v>
          </cell>
          <cell r="I29">
            <v>34778769350</v>
          </cell>
          <cell r="J29">
            <v>1550</v>
          </cell>
          <cell r="K29">
            <v>25441764150</v>
          </cell>
          <cell r="L29">
            <v>1600</v>
          </cell>
          <cell r="M29">
            <v>20985000000</v>
          </cell>
          <cell r="N29">
            <v>1650</v>
          </cell>
          <cell r="O29">
            <v>21035000000</v>
          </cell>
        </row>
        <row r="30">
          <cell r="B30" t="str">
            <v>Program Peningkatan Produksi Tanaman Perkebunan</v>
          </cell>
          <cell r="C30" t="str">
            <v>Jumlah Produksi Lada 
Jumlah Produksi Kakao
Jumlah Produksi Kelapa Sawit</v>
          </cell>
          <cell r="D30" t="str">
            <v>3854
12400
245630</v>
          </cell>
          <cell r="E30">
            <v>0</v>
          </cell>
          <cell r="F30" t="str">
            <v>4.094
13.597
258.364</v>
          </cell>
          <cell r="G30">
            <v>518827500</v>
          </cell>
          <cell r="H30" t="str">
            <v>4.301
16.147
285.102</v>
          </cell>
          <cell r="I30">
            <v>3241726860</v>
          </cell>
          <cell r="J30" t="str">
            <v>4.336
17.996
304.621</v>
          </cell>
          <cell r="K30">
            <v>4094982000</v>
          </cell>
          <cell r="L30" t="str">
            <v>4.449
19.996
328.318</v>
          </cell>
          <cell r="M30">
            <v>13175000000</v>
          </cell>
          <cell r="N30" t="str">
            <v>5.548
22.496
346.558</v>
          </cell>
          <cell r="O30">
            <v>16730000000</v>
          </cell>
        </row>
        <row r="31">
          <cell r="B31" t="str">
            <v>DINAS KELAUTAN DAN PERIKANAN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>Program Pengembangan Budidaya Perikanan</v>
          </cell>
          <cell r="C32" t="str">
            <v>Jumlah produksi
Perikanan Budidaya (ton)</v>
          </cell>
          <cell r="D32">
            <v>42922</v>
          </cell>
          <cell r="E32">
            <v>0</v>
          </cell>
          <cell r="F32">
            <v>44210</v>
          </cell>
          <cell r="G32">
            <v>1657296400</v>
          </cell>
          <cell r="H32">
            <v>45497</v>
          </cell>
          <cell r="I32">
            <v>6866608000</v>
          </cell>
          <cell r="J32">
            <v>46788</v>
          </cell>
          <cell r="K32">
            <v>7568947455</v>
          </cell>
          <cell r="L32">
            <v>48073</v>
          </cell>
          <cell r="M32">
            <v>6756963547</v>
          </cell>
          <cell r="N32">
            <v>49380</v>
          </cell>
          <cell r="O32">
            <v>7437752974</v>
          </cell>
        </row>
        <row r="33">
          <cell r="B33" t="str">
            <v>Program pengembangan perikanan tangkap</v>
          </cell>
          <cell r="C33" t="str">
            <v>Jumlah produksi Perikanan Tangkap (ton)</v>
          </cell>
          <cell r="D33">
            <v>8659</v>
          </cell>
          <cell r="E33">
            <v>0</v>
          </cell>
          <cell r="F33">
            <v>8702300</v>
          </cell>
          <cell r="G33">
            <v>7416554300</v>
          </cell>
          <cell r="H33">
            <v>8745590</v>
          </cell>
          <cell r="I33">
            <v>11289630650</v>
          </cell>
          <cell r="J33">
            <v>8785890</v>
          </cell>
          <cell r="K33">
            <v>7952000000</v>
          </cell>
          <cell r="L33">
            <v>8832180</v>
          </cell>
          <cell r="M33">
            <v>7905000000</v>
          </cell>
          <cell r="N33">
            <v>8918800</v>
          </cell>
          <cell r="O33">
            <v>8915000000</v>
          </cell>
        </row>
        <row r="34">
          <cell r="B34" t="str">
            <v>Program Optimalisasi pengelolaan dan pemasaran produksi perikanan</v>
          </cell>
          <cell r="C34" t="str">
            <v>Jumlah produksi
Pengolahan
ikan  (ton)</v>
          </cell>
          <cell r="D34">
            <v>302.39999999999998</v>
          </cell>
          <cell r="E34">
            <v>0</v>
          </cell>
          <cell r="F34">
            <v>303750</v>
          </cell>
          <cell r="G34">
            <v>1482852500</v>
          </cell>
          <cell r="H34">
            <v>305270</v>
          </cell>
          <cell r="I34">
            <v>1471235000</v>
          </cell>
          <cell r="J34">
            <v>306800</v>
          </cell>
          <cell r="K34">
            <v>960290000</v>
          </cell>
          <cell r="L34">
            <v>308330</v>
          </cell>
          <cell r="M34">
            <v>1655000000</v>
          </cell>
          <cell r="N34">
            <v>309870</v>
          </cell>
          <cell r="O34">
            <v>1255000000</v>
          </cell>
        </row>
        <row r="35">
          <cell r="B35" t="str">
            <v>DPMPTSP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Program Peningkatan Iklim Investasi dan Realisasi Investasi</v>
          </cell>
          <cell r="C36" t="str">
            <v>Jumlah minat dan rencana investasi (investor)</v>
          </cell>
          <cell r="D36">
            <v>25</v>
          </cell>
          <cell r="E36">
            <v>0</v>
          </cell>
          <cell r="F36">
            <v>30</v>
          </cell>
          <cell r="G36">
            <v>91747600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Program Peningkatan Promosi dan Kerjasama Investasi</v>
          </cell>
          <cell r="C37" t="str">
            <v>- persentase jumlah promosi yang dilaksanakan
- Nilai investasi PMA $ dan PMDN Rp.</v>
          </cell>
          <cell r="D37" t="str">
            <v>0</v>
          </cell>
          <cell r="E37">
            <v>0</v>
          </cell>
          <cell r="F37" t="str">
            <v>0</v>
          </cell>
          <cell r="G37">
            <v>334386400</v>
          </cell>
          <cell r="H37" t="str">
            <v>0</v>
          </cell>
          <cell r="I37">
            <v>472662000</v>
          </cell>
          <cell r="J37" t="str">
            <v>0</v>
          </cell>
          <cell r="K37">
            <v>874759000</v>
          </cell>
          <cell r="L37" t="str">
            <v>0</v>
          </cell>
          <cell r="M37">
            <v>900000000</v>
          </cell>
          <cell r="N37" t="str">
            <v>0</v>
          </cell>
          <cell r="O37">
            <v>0</v>
          </cell>
        </row>
        <row r="38">
          <cell r="B38" t="str">
            <v>Program Pengawasan dan Pengendalian PM dan PTSP</v>
          </cell>
          <cell r="C38" t="str">
            <v>persentase PMA dan PMDN yang dibina</v>
          </cell>
          <cell r="D38" t="str">
            <v>0</v>
          </cell>
          <cell r="E38">
            <v>0</v>
          </cell>
          <cell r="F38" t="str">
            <v>0</v>
          </cell>
          <cell r="G38">
            <v>0</v>
          </cell>
          <cell r="H38" t="str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430000000</v>
          </cell>
          <cell r="N38">
            <v>0</v>
          </cell>
          <cell r="O38">
            <v>430000000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92"/>
  <sheetViews>
    <sheetView tabSelected="1" view="pageBreakPreview" topLeftCell="A2" zoomScale="120" zoomScaleNormal="100" zoomScaleSheetLayoutView="120" workbookViewId="0">
      <selection activeCell="J78" sqref="J78"/>
    </sheetView>
  </sheetViews>
  <sheetFormatPr defaultRowHeight="15" x14ac:dyDescent="0.25"/>
  <cols>
    <col min="1" max="1" width="5" style="9" customWidth="1"/>
    <col min="2" max="2" width="32.42578125" customWidth="1"/>
    <col min="3" max="3" width="14.5703125" customWidth="1"/>
    <col min="4" max="4" width="0.140625" customWidth="1"/>
    <col min="5" max="5" width="16.42578125" customWidth="1"/>
    <col min="6" max="6" width="0.140625" hidden="1" customWidth="1"/>
    <col min="7" max="7" width="14.85546875" hidden="1" customWidth="1"/>
    <col min="8" max="8" width="17.85546875" hidden="1" customWidth="1"/>
    <col min="9" max="9" width="0.140625" customWidth="1"/>
    <col min="10" max="10" width="16" customWidth="1"/>
    <col min="11" max="12" width="15.85546875" hidden="1" customWidth="1"/>
    <col min="13" max="13" width="15.42578125" hidden="1" customWidth="1"/>
    <col min="14" max="14" width="15.42578125" customWidth="1"/>
    <col min="15" max="15" width="14.7109375" customWidth="1"/>
    <col min="16" max="16" width="6" style="13" customWidth="1"/>
    <col min="17" max="17" width="12.7109375" style="13" customWidth="1"/>
    <col min="18" max="18" width="6.5703125" style="13" customWidth="1"/>
    <col min="19" max="19" width="13.28515625" customWidth="1"/>
    <col min="20" max="20" width="6.28515625" style="13" customWidth="1"/>
    <col min="21" max="21" width="23.85546875" hidden="1" customWidth="1"/>
    <col min="22" max="22" width="17.28515625" customWidth="1"/>
    <col min="23" max="23" width="19.85546875" customWidth="1"/>
    <col min="24" max="26" width="14.5703125" bestFit="1" customWidth="1"/>
    <col min="266" max="266" width="5" customWidth="1"/>
    <col min="267" max="267" width="32.28515625" customWidth="1"/>
    <col min="268" max="268" width="16.140625" customWidth="1"/>
    <col min="269" max="269" width="13.42578125" customWidth="1"/>
    <col min="270" max="270" width="15.7109375" customWidth="1"/>
    <col min="271" max="271" width="11.85546875" customWidth="1"/>
    <col min="272" max="272" width="7" customWidth="1"/>
    <col min="273" max="273" width="12.7109375" customWidth="1"/>
    <col min="274" max="274" width="6.42578125" customWidth="1"/>
    <col min="275" max="275" width="12.7109375" customWidth="1"/>
    <col min="276" max="276" width="7.42578125" customWidth="1"/>
    <col min="277" max="277" width="14.140625" customWidth="1"/>
    <col min="522" max="522" width="5" customWidth="1"/>
    <col min="523" max="523" width="32.28515625" customWidth="1"/>
    <col min="524" max="524" width="16.140625" customWidth="1"/>
    <col min="525" max="525" width="13.42578125" customWidth="1"/>
    <col min="526" max="526" width="15.7109375" customWidth="1"/>
    <col min="527" max="527" width="11.85546875" customWidth="1"/>
    <col min="528" max="528" width="7" customWidth="1"/>
    <col min="529" max="529" width="12.7109375" customWidth="1"/>
    <col min="530" max="530" width="6.42578125" customWidth="1"/>
    <col min="531" max="531" width="12.7109375" customWidth="1"/>
    <col min="532" max="532" width="7.42578125" customWidth="1"/>
    <col min="533" max="533" width="14.140625" customWidth="1"/>
    <col min="778" max="778" width="5" customWidth="1"/>
    <col min="779" max="779" width="32.28515625" customWidth="1"/>
    <col min="780" max="780" width="16.140625" customWidth="1"/>
    <col min="781" max="781" width="13.42578125" customWidth="1"/>
    <col min="782" max="782" width="15.7109375" customWidth="1"/>
    <col min="783" max="783" width="11.85546875" customWidth="1"/>
    <col min="784" max="784" width="7" customWidth="1"/>
    <col min="785" max="785" width="12.7109375" customWidth="1"/>
    <col min="786" max="786" width="6.42578125" customWidth="1"/>
    <col min="787" max="787" width="12.7109375" customWidth="1"/>
    <col min="788" max="788" width="7.42578125" customWidth="1"/>
    <col min="789" max="789" width="14.140625" customWidth="1"/>
    <col min="1034" max="1034" width="5" customWidth="1"/>
    <col min="1035" max="1035" width="32.28515625" customWidth="1"/>
    <col min="1036" max="1036" width="16.140625" customWidth="1"/>
    <col min="1037" max="1037" width="13.42578125" customWidth="1"/>
    <col min="1038" max="1038" width="15.7109375" customWidth="1"/>
    <col min="1039" max="1039" width="11.85546875" customWidth="1"/>
    <col min="1040" max="1040" width="7" customWidth="1"/>
    <col min="1041" max="1041" width="12.7109375" customWidth="1"/>
    <col min="1042" max="1042" width="6.42578125" customWidth="1"/>
    <col min="1043" max="1043" width="12.7109375" customWidth="1"/>
    <col min="1044" max="1044" width="7.42578125" customWidth="1"/>
    <col min="1045" max="1045" width="14.140625" customWidth="1"/>
    <col min="1290" max="1290" width="5" customWidth="1"/>
    <col min="1291" max="1291" width="32.28515625" customWidth="1"/>
    <col min="1292" max="1292" width="16.140625" customWidth="1"/>
    <col min="1293" max="1293" width="13.42578125" customWidth="1"/>
    <col min="1294" max="1294" width="15.7109375" customWidth="1"/>
    <col min="1295" max="1295" width="11.85546875" customWidth="1"/>
    <col min="1296" max="1296" width="7" customWidth="1"/>
    <col min="1297" max="1297" width="12.7109375" customWidth="1"/>
    <col min="1298" max="1298" width="6.42578125" customWidth="1"/>
    <col min="1299" max="1299" width="12.7109375" customWidth="1"/>
    <col min="1300" max="1300" width="7.42578125" customWidth="1"/>
    <col min="1301" max="1301" width="14.140625" customWidth="1"/>
    <col min="1546" max="1546" width="5" customWidth="1"/>
    <col min="1547" max="1547" width="32.28515625" customWidth="1"/>
    <col min="1548" max="1548" width="16.140625" customWidth="1"/>
    <col min="1549" max="1549" width="13.42578125" customWidth="1"/>
    <col min="1550" max="1550" width="15.7109375" customWidth="1"/>
    <col min="1551" max="1551" width="11.85546875" customWidth="1"/>
    <col min="1552" max="1552" width="7" customWidth="1"/>
    <col min="1553" max="1553" width="12.7109375" customWidth="1"/>
    <col min="1554" max="1554" width="6.42578125" customWidth="1"/>
    <col min="1555" max="1555" width="12.7109375" customWidth="1"/>
    <col min="1556" max="1556" width="7.42578125" customWidth="1"/>
    <col min="1557" max="1557" width="14.140625" customWidth="1"/>
    <col min="1802" max="1802" width="5" customWidth="1"/>
    <col min="1803" max="1803" width="32.28515625" customWidth="1"/>
    <col min="1804" max="1804" width="16.140625" customWidth="1"/>
    <col min="1805" max="1805" width="13.42578125" customWidth="1"/>
    <col min="1806" max="1806" width="15.7109375" customWidth="1"/>
    <col min="1807" max="1807" width="11.85546875" customWidth="1"/>
    <col min="1808" max="1808" width="7" customWidth="1"/>
    <col min="1809" max="1809" width="12.7109375" customWidth="1"/>
    <col min="1810" max="1810" width="6.42578125" customWidth="1"/>
    <col min="1811" max="1811" width="12.7109375" customWidth="1"/>
    <col min="1812" max="1812" width="7.42578125" customWidth="1"/>
    <col min="1813" max="1813" width="14.140625" customWidth="1"/>
    <col min="2058" max="2058" width="5" customWidth="1"/>
    <col min="2059" max="2059" width="32.28515625" customWidth="1"/>
    <col min="2060" max="2060" width="16.140625" customWidth="1"/>
    <col min="2061" max="2061" width="13.42578125" customWidth="1"/>
    <col min="2062" max="2062" width="15.7109375" customWidth="1"/>
    <col min="2063" max="2063" width="11.85546875" customWidth="1"/>
    <col min="2064" max="2064" width="7" customWidth="1"/>
    <col min="2065" max="2065" width="12.7109375" customWidth="1"/>
    <col min="2066" max="2066" width="6.42578125" customWidth="1"/>
    <col min="2067" max="2067" width="12.7109375" customWidth="1"/>
    <col min="2068" max="2068" width="7.42578125" customWidth="1"/>
    <col min="2069" max="2069" width="14.140625" customWidth="1"/>
    <col min="2314" max="2314" width="5" customWidth="1"/>
    <col min="2315" max="2315" width="32.28515625" customWidth="1"/>
    <col min="2316" max="2316" width="16.140625" customWidth="1"/>
    <col min="2317" max="2317" width="13.42578125" customWidth="1"/>
    <col min="2318" max="2318" width="15.7109375" customWidth="1"/>
    <col min="2319" max="2319" width="11.85546875" customWidth="1"/>
    <col min="2320" max="2320" width="7" customWidth="1"/>
    <col min="2321" max="2321" width="12.7109375" customWidth="1"/>
    <col min="2322" max="2322" width="6.42578125" customWidth="1"/>
    <col min="2323" max="2323" width="12.7109375" customWidth="1"/>
    <col min="2324" max="2324" width="7.42578125" customWidth="1"/>
    <col min="2325" max="2325" width="14.140625" customWidth="1"/>
    <col min="2570" max="2570" width="5" customWidth="1"/>
    <col min="2571" max="2571" width="32.28515625" customWidth="1"/>
    <col min="2572" max="2572" width="16.140625" customWidth="1"/>
    <col min="2573" max="2573" width="13.42578125" customWidth="1"/>
    <col min="2574" max="2574" width="15.7109375" customWidth="1"/>
    <col min="2575" max="2575" width="11.85546875" customWidth="1"/>
    <col min="2576" max="2576" width="7" customWidth="1"/>
    <col min="2577" max="2577" width="12.7109375" customWidth="1"/>
    <col min="2578" max="2578" width="6.42578125" customWidth="1"/>
    <col min="2579" max="2579" width="12.7109375" customWidth="1"/>
    <col min="2580" max="2580" width="7.42578125" customWidth="1"/>
    <col min="2581" max="2581" width="14.140625" customWidth="1"/>
    <col min="2826" max="2826" width="5" customWidth="1"/>
    <col min="2827" max="2827" width="32.28515625" customWidth="1"/>
    <col min="2828" max="2828" width="16.140625" customWidth="1"/>
    <col min="2829" max="2829" width="13.42578125" customWidth="1"/>
    <col min="2830" max="2830" width="15.7109375" customWidth="1"/>
    <col min="2831" max="2831" width="11.85546875" customWidth="1"/>
    <col min="2832" max="2832" width="7" customWidth="1"/>
    <col min="2833" max="2833" width="12.7109375" customWidth="1"/>
    <col min="2834" max="2834" width="6.42578125" customWidth="1"/>
    <col min="2835" max="2835" width="12.7109375" customWidth="1"/>
    <col min="2836" max="2836" width="7.42578125" customWidth="1"/>
    <col min="2837" max="2837" width="14.140625" customWidth="1"/>
    <col min="3082" max="3082" width="5" customWidth="1"/>
    <col min="3083" max="3083" width="32.28515625" customWidth="1"/>
    <col min="3084" max="3084" width="16.140625" customWidth="1"/>
    <col min="3085" max="3085" width="13.42578125" customWidth="1"/>
    <col min="3086" max="3086" width="15.7109375" customWidth="1"/>
    <col min="3087" max="3087" width="11.85546875" customWidth="1"/>
    <col min="3088" max="3088" width="7" customWidth="1"/>
    <col min="3089" max="3089" width="12.7109375" customWidth="1"/>
    <col min="3090" max="3090" width="6.42578125" customWidth="1"/>
    <col min="3091" max="3091" width="12.7109375" customWidth="1"/>
    <col min="3092" max="3092" width="7.42578125" customWidth="1"/>
    <col min="3093" max="3093" width="14.140625" customWidth="1"/>
    <col min="3338" max="3338" width="5" customWidth="1"/>
    <col min="3339" max="3339" width="32.28515625" customWidth="1"/>
    <col min="3340" max="3340" width="16.140625" customWidth="1"/>
    <col min="3341" max="3341" width="13.42578125" customWidth="1"/>
    <col min="3342" max="3342" width="15.7109375" customWidth="1"/>
    <col min="3343" max="3343" width="11.85546875" customWidth="1"/>
    <col min="3344" max="3344" width="7" customWidth="1"/>
    <col min="3345" max="3345" width="12.7109375" customWidth="1"/>
    <col min="3346" max="3346" width="6.42578125" customWidth="1"/>
    <col min="3347" max="3347" width="12.7109375" customWidth="1"/>
    <col min="3348" max="3348" width="7.42578125" customWidth="1"/>
    <col min="3349" max="3349" width="14.140625" customWidth="1"/>
    <col min="3594" max="3594" width="5" customWidth="1"/>
    <col min="3595" max="3595" width="32.28515625" customWidth="1"/>
    <col min="3596" max="3596" width="16.140625" customWidth="1"/>
    <col min="3597" max="3597" width="13.42578125" customWidth="1"/>
    <col min="3598" max="3598" width="15.7109375" customWidth="1"/>
    <col min="3599" max="3599" width="11.85546875" customWidth="1"/>
    <col min="3600" max="3600" width="7" customWidth="1"/>
    <col min="3601" max="3601" width="12.7109375" customWidth="1"/>
    <col min="3602" max="3602" width="6.42578125" customWidth="1"/>
    <col min="3603" max="3603" width="12.7109375" customWidth="1"/>
    <col min="3604" max="3604" width="7.42578125" customWidth="1"/>
    <col min="3605" max="3605" width="14.140625" customWidth="1"/>
    <col min="3850" max="3850" width="5" customWidth="1"/>
    <col min="3851" max="3851" width="32.28515625" customWidth="1"/>
    <col min="3852" max="3852" width="16.140625" customWidth="1"/>
    <col min="3853" max="3853" width="13.42578125" customWidth="1"/>
    <col min="3854" max="3854" width="15.7109375" customWidth="1"/>
    <col min="3855" max="3855" width="11.85546875" customWidth="1"/>
    <col min="3856" max="3856" width="7" customWidth="1"/>
    <col min="3857" max="3857" width="12.7109375" customWidth="1"/>
    <col min="3858" max="3858" width="6.42578125" customWidth="1"/>
    <col min="3859" max="3859" width="12.7109375" customWidth="1"/>
    <col min="3860" max="3860" width="7.42578125" customWidth="1"/>
    <col min="3861" max="3861" width="14.140625" customWidth="1"/>
    <col min="4106" max="4106" width="5" customWidth="1"/>
    <col min="4107" max="4107" width="32.28515625" customWidth="1"/>
    <col min="4108" max="4108" width="16.140625" customWidth="1"/>
    <col min="4109" max="4109" width="13.42578125" customWidth="1"/>
    <col min="4110" max="4110" width="15.7109375" customWidth="1"/>
    <col min="4111" max="4111" width="11.85546875" customWidth="1"/>
    <col min="4112" max="4112" width="7" customWidth="1"/>
    <col min="4113" max="4113" width="12.7109375" customWidth="1"/>
    <col min="4114" max="4114" width="6.42578125" customWidth="1"/>
    <col min="4115" max="4115" width="12.7109375" customWidth="1"/>
    <col min="4116" max="4116" width="7.42578125" customWidth="1"/>
    <col min="4117" max="4117" width="14.140625" customWidth="1"/>
    <col min="4362" max="4362" width="5" customWidth="1"/>
    <col min="4363" max="4363" width="32.28515625" customWidth="1"/>
    <col min="4364" max="4364" width="16.140625" customWidth="1"/>
    <col min="4365" max="4365" width="13.42578125" customWidth="1"/>
    <col min="4366" max="4366" width="15.7109375" customWidth="1"/>
    <col min="4367" max="4367" width="11.85546875" customWidth="1"/>
    <col min="4368" max="4368" width="7" customWidth="1"/>
    <col min="4369" max="4369" width="12.7109375" customWidth="1"/>
    <col min="4370" max="4370" width="6.42578125" customWidth="1"/>
    <col min="4371" max="4371" width="12.7109375" customWidth="1"/>
    <col min="4372" max="4372" width="7.42578125" customWidth="1"/>
    <col min="4373" max="4373" width="14.140625" customWidth="1"/>
    <col min="4618" max="4618" width="5" customWidth="1"/>
    <col min="4619" max="4619" width="32.28515625" customWidth="1"/>
    <col min="4620" max="4620" width="16.140625" customWidth="1"/>
    <col min="4621" max="4621" width="13.42578125" customWidth="1"/>
    <col min="4622" max="4622" width="15.7109375" customWidth="1"/>
    <col min="4623" max="4623" width="11.85546875" customWidth="1"/>
    <col min="4624" max="4624" width="7" customWidth="1"/>
    <col min="4625" max="4625" width="12.7109375" customWidth="1"/>
    <col min="4626" max="4626" width="6.42578125" customWidth="1"/>
    <col min="4627" max="4627" width="12.7109375" customWidth="1"/>
    <col min="4628" max="4628" width="7.42578125" customWidth="1"/>
    <col min="4629" max="4629" width="14.140625" customWidth="1"/>
    <col min="4874" max="4874" width="5" customWidth="1"/>
    <col min="4875" max="4875" width="32.28515625" customWidth="1"/>
    <col min="4876" max="4876" width="16.140625" customWidth="1"/>
    <col min="4877" max="4877" width="13.42578125" customWidth="1"/>
    <col min="4878" max="4878" width="15.7109375" customWidth="1"/>
    <col min="4879" max="4879" width="11.85546875" customWidth="1"/>
    <col min="4880" max="4880" width="7" customWidth="1"/>
    <col min="4881" max="4881" width="12.7109375" customWidth="1"/>
    <col min="4882" max="4882" width="6.42578125" customWidth="1"/>
    <col min="4883" max="4883" width="12.7109375" customWidth="1"/>
    <col min="4884" max="4884" width="7.42578125" customWidth="1"/>
    <col min="4885" max="4885" width="14.140625" customWidth="1"/>
    <col min="5130" max="5130" width="5" customWidth="1"/>
    <col min="5131" max="5131" width="32.28515625" customWidth="1"/>
    <col min="5132" max="5132" width="16.140625" customWidth="1"/>
    <col min="5133" max="5133" width="13.42578125" customWidth="1"/>
    <col min="5134" max="5134" width="15.7109375" customWidth="1"/>
    <col min="5135" max="5135" width="11.85546875" customWidth="1"/>
    <col min="5136" max="5136" width="7" customWidth="1"/>
    <col min="5137" max="5137" width="12.7109375" customWidth="1"/>
    <col min="5138" max="5138" width="6.42578125" customWidth="1"/>
    <col min="5139" max="5139" width="12.7109375" customWidth="1"/>
    <col min="5140" max="5140" width="7.42578125" customWidth="1"/>
    <col min="5141" max="5141" width="14.140625" customWidth="1"/>
    <col min="5386" max="5386" width="5" customWidth="1"/>
    <col min="5387" max="5387" width="32.28515625" customWidth="1"/>
    <col min="5388" max="5388" width="16.140625" customWidth="1"/>
    <col min="5389" max="5389" width="13.42578125" customWidth="1"/>
    <col min="5390" max="5390" width="15.7109375" customWidth="1"/>
    <col min="5391" max="5391" width="11.85546875" customWidth="1"/>
    <col min="5392" max="5392" width="7" customWidth="1"/>
    <col min="5393" max="5393" width="12.7109375" customWidth="1"/>
    <col min="5394" max="5394" width="6.42578125" customWidth="1"/>
    <col min="5395" max="5395" width="12.7109375" customWidth="1"/>
    <col min="5396" max="5396" width="7.42578125" customWidth="1"/>
    <col min="5397" max="5397" width="14.140625" customWidth="1"/>
    <col min="5642" max="5642" width="5" customWidth="1"/>
    <col min="5643" max="5643" width="32.28515625" customWidth="1"/>
    <col min="5644" max="5644" width="16.140625" customWidth="1"/>
    <col min="5645" max="5645" width="13.42578125" customWidth="1"/>
    <col min="5646" max="5646" width="15.7109375" customWidth="1"/>
    <col min="5647" max="5647" width="11.85546875" customWidth="1"/>
    <col min="5648" max="5648" width="7" customWidth="1"/>
    <col min="5649" max="5649" width="12.7109375" customWidth="1"/>
    <col min="5650" max="5650" width="6.42578125" customWidth="1"/>
    <col min="5651" max="5651" width="12.7109375" customWidth="1"/>
    <col min="5652" max="5652" width="7.42578125" customWidth="1"/>
    <col min="5653" max="5653" width="14.140625" customWidth="1"/>
    <col min="5898" max="5898" width="5" customWidth="1"/>
    <col min="5899" max="5899" width="32.28515625" customWidth="1"/>
    <col min="5900" max="5900" width="16.140625" customWidth="1"/>
    <col min="5901" max="5901" width="13.42578125" customWidth="1"/>
    <col min="5902" max="5902" width="15.7109375" customWidth="1"/>
    <col min="5903" max="5903" width="11.85546875" customWidth="1"/>
    <col min="5904" max="5904" width="7" customWidth="1"/>
    <col min="5905" max="5905" width="12.7109375" customWidth="1"/>
    <col min="5906" max="5906" width="6.42578125" customWidth="1"/>
    <col min="5907" max="5907" width="12.7109375" customWidth="1"/>
    <col min="5908" max="5908" width="7.42578125" customWidth="1"/>
    <col min="5909" max="5909" width="14.140625" customWidth="1"/>
    <col min="6154" max="6154" width="5" customWidth="1"/>
    <col min="6155" max="6155" width="32.28515625" customWidth="1"/>
    <col min="6156" max="6156" width="16.140625" customWidth="1"/>
    <col min="6157" max="6157" width="13.42578125" customWidth="1"/>
    <col min="6158" max="6158" width="15.7109375" customWidth="1"/>
    <col min="6159" max="6159" width="11.85546875" customWidth="1"/>
    <col min="6160" max="6160" width="7" customWidth="1"/>
    <col min="6161" max="6161" width="12.7109375" customWidth="1"/>
    <col min="6162" max="6162" width="6.42578125" customWidth="1"/>
    <col min="6163" max="6163" width="12.7109375" customWidth="1"/>
    <col min="6164" max="6164" width="7.42578125" customWidth="1"/>
    <col min="6165" max="6165" width="14.140625" customWidth="1"/>
    <col min="6410" max="6410" width="5" customWidth="1"/>
    <col min="6411" max="6411" width="32.28515625" customWidth="1"/>
    <col min="6412" max="6412" width="16.140625" customWidth="1"/>
    <col min="6413" max="6413" width="13.42578125" customWidth="1"/>
    <col min="6414" max="6414" width="15.7109375" customWidth="1"/>
    <col min="6415" max="6415" width="11.85546875" customWidth="1"/>
    <col min="6416" max="6416" width="7" customWidth="1"/>
    <col min="6417" max="6417" width="12.7109375" customWidth="1"/>
    <col min="6418" max="6418" width="6.42578125" customWidth="1"/>
    <col min="6419" max="6419" width="12.7109375" customWidth="1"/>
    <col min="6420" max="6420" width="7.42578125" customWidth="1"/>
    <col min="6421" max="6421" width="14.140625" customWidth="1"/>
    <col min="6666" max="6666" width="5" customWidth="1"/>
    <col min="6667" max="6667" width="32.28515625" customWidth="1"/>
    <col min="6668" max="6668" width="16.140625" customWidth="1"/>
    <col min="6669" max="6669" width="13.42578125" customWidth="1"/>
    <col min="6670" max="6670" width="15.7109375" customWidth="1"/>
    <col min="6671" max="6671" width="11.85546875" customWidth="1"/>
    <col min="6672" max="6672" width="7" customWidth="1"/>
    <col min="6673" max="6673" width="12.7109375" customWidth="1"/>
    <col min="6674" max="6674" width="6.42578125" customWidth="1"/>
    <col min="6675" max="6675" width="12.7109375" customWidth="1"/>
    <col min="6676" max="6676" width="7.42578125" customWidth="1"/>
    <col min="6677" max="6677" width="14.140625" customWidth="1"/>
    <col min="6922" max="6922" width="5" customWidth="1"/>
    <col min="6923" max="6923" width="32.28515625" customWidth="1"/>
    <col min="6924" max="6924" width="16.140625" customWidth="1"/>
    <col min="6925" max="6925" width="13.42578125" customWidth="1"/>
    <col min="6926" max="6926" width="15.7109375" customWidth="1"/>
    <col min="6927" max="6927" width="11.85546875" customWidth="1"/>
    <col min="6928" max="6928" width="7" customWidth="1"/>
    <col min="6929" max="6929" width="12.7109375" customWidth="1"/>
    <col min="6930" max="6930" width="6.42578125" customWidth="1"/>
    <col min="6931" max="6931" width="12.7109375" customWidth="1"/>
    <col min="6932" max="6932" width="7.42578125" customWidth="1"/>
    <col min="6933" max="6933" width="14.140625" customWidth="1"/>
    <col min="7178" max="7178" width="5" customWidth="1"/>
    <col min="7179" max="7179" width="32.28515625" customWidth="1"/>
    <col min="7180" max="7180" width="16.140625" customWidth="1"/>
    <col min="7181" max="7181" width="13.42578125" customWidth="1"/>
    <col min="7182" max="7182" width="15.7109375" customWidth="1"/>
    <col min="7183" max="7183" width="11.85546875" customWidth="1"/>
    <col min="7184" max="7184" width="7" customWidth="1"/>
    <col min="7185" max="7185" width="12.7109375" customWidth="1"/>
    <col min="7186" max="7186" width="6.42578125" customWidth="1"/>
    <col min="7187" max="7187" width="12.7109375" customWidth="1"/>
    <col min="7188" max="7188" width="7.42578125" customWidth="1"/>
    <col min="7189" max="7189" width="14.140625" customWidth="1"/>
    <col min="7434" max="7434" width="5" customWidth="1"/>
    <col min="7435" max="7435" width="32.28515625" customWidth="1"/>
    <col min="7436" max="7436" width="16.140625" customWidth="1"/>
    <col min="7437" max="7437" width="13.42578125" customWidth="1"/>
    <col min="7438" max="7438" width="15.7109375" customWidth="1"/>
    <col min="7439" max="7439" width="11.85546875" customWidth="1"/>
    <col min="7440" max="7440" width="7" customWidth="1"/>
    <col min="7441" max="7441" width="12.7109375" customWidth="1"/>
    <col min="7442" max="7442" width="6.42578125" customWidth="1"/>
    <col min="7443" max="7443" width="12.7109375" customWidth="1"/>
    <col min="7444" max="7444" width="7.42578125" customWidth="1"/>
    <col min="7445" max="7445" width="14.140625" customWidth="1"/>
    <col min="7690" max="7690" width="5" customWidth="1"/>
    <col min="7691" max="7691" width="32.28515625" customWidth="1"/>
    <col min="7692" max="7692" width="16.140625" customWidth="1"/>
    <col min="7693" max="7693" width="13.42578125" customWidth="1"/>
    <col min="7694" max="7694" width="15.7109375" customWidth="1"/>
    <col min="7695" max="7695" width="11.85546875" customWidth="1"/>
    <col min="7696" max="7696" width="7" customWidth="1"/>
    <col min="7697" max="7697" width="12.7109375" customWidth="1"/>
    <col min="7698" max="7698" width="6.42578125" customWidth="1"/>
    <col min="7699" max="7699" width="12.7109375" customWidth="1"/>
    <col min="7700" max="7700" width="7.42578125" customWidth="1"/>
    <col min="7701" max="7701" width="14.140625" customWidth="1"/>
    <col min="7946" max="7946" width="5" customWidth="1"/>
    <col min="7947" max="7947" width="32.28515625" customWidth="1"/>
    <col min="7948" max="7948" width="16.140625" customWidth="1"/>
    <col min="7949" max="7949" width="13.42578125" customWidth="1"/>
    <col min="7950" max="7950" width="15.7109375" customWidth="1"/>
    <col min="7951" max="7951" width="11.85546875" customWidth="1"/>
    <col min="7952" max="7952" width="7" customWidth="1"/>
    <col min="7953" max="7953" width="12.7109375" customWidth="1"/>
    <col min="7954" max="7954" width="6.42578125" customWidth="1"/>
    <col min="7955" max="7955" width="12.7109375" customWidth="1"/>
    <col min="7956" max="7956" width="7.42578125" customWidth="1"/>
    <col min="7957" max="7957" width="14.140625" customWidth="1"/>
    <col min="8202" max="8202" width="5" customWidth="1"/>
    <col min="8203" max="8203" width="32.28515625" customWidth="1"/>
    <col min="8204" max="8204" width="16.140625" customWidth="1"/>
    <col min="8205" max="8205" width="13.42578125" customWidth="1"/>
    <col min="8206" max="8206" width="15.7109375" customWidth="1"/>
    <col min="8207" max="8207" width="11.85546875" customWidth="1"/>
    <col min="8208" max="8208" width="7" customWidth="1"/>
    <col min="8209" max="8209" width="12.7109375" customWidth="1"/>
    <col min="8210" max="8210" width="6.42578125" customWidth="1"/>
    <col min="8211" max="8211" width="12.7109375" customWidth="1"/>
    <col min="8212" max="8212" width="7.42578125" customWidth="1"/>
    <col min="8213" max="8213" width="14.140625" customWidth="1"/>
    <col min="8458" max="8458" width="5" customWidth="1"/>
    <col min="8459" max="8459" width="32.28515625" customWidth="1"/>
    <col min="8460" max="8460" width="16.140625" customWidth="1"/>
    <col min="8461" max="8461" width="13.42578125" customWidth="1"/>
    <col min="8462" max="8462" width="15.7109375" customWidth="1"/>
    <col min="8463" max="8463" width="11.85546875" customWidth="1"/>
    <col min="8464" max="8464" width="7" customWidth="1"/>
    <col min="8465" max="8465" width="12.7109375" customWidth="1"/>
    <col min="8466" max="8466" width="6.42578125" customWidth="1"/>
    <col min="8467" max="8467" width="12.7109375" customWidth="1"/>
    <col min="8468" max="8468" width="7.42578125" customWidth="1"/>
    <col min="8469" max="8469" width="14.140625" customWidth="1"/>
    <col min="8714" max="8714" width="5" customWidth="1"/>
    <col min="8715" max="8715" width="32.28515625" customWidth="1"/>
    <col min="8716" max="8716" width="16.140625" customWidth="1"/>
    <col min="8717" max="8717" width="13.42578125" customWidth="1"/>
    <col min="8718" max="8718" width="15.7109375" customWidth="1"/>
    <col min="8719" max="8719" width="11.85546875" customWidth="1"/>
    <col min="8720" max="8720" width="7" customWidth="1"/>
    <col min="8721" max="8721" width="12.7109375" customWidth="1"/>
    <col min="8722" max="8722" width="6.42578125" customWidth="1"/>
    <col min="8723" max="8723" width="12.7109375" customWidth="1"/>
    <col min="8724" max="8724" width="7.42578125" customWidth="1"/>
    <col min="8725" max="8725" width="14.140625" customWidth="1"/>
    <col min="8970" max="8970" width="5" customWidth="1"/>
    <col min="8971" max="8971" width="32.28515625" customWidth="1"/>
    <col min="8972" max="8972" width="16.140625" customWidth="1"/>
    <col min="8973" max="8973" width="13.42578125" customWidth="1"/>
    <col min="8974" max="8974" width="15.7109375" customWidth="1"/>
    <col min="8975" max="8975" width="11.85546875" customWidth="1"/>
    <col min="8976" max="8976" width="7" customWidth="1"/>
    <col min="8977" max="8977" width="12.7109375" customWidth="1"/>
    <col min="8978" max="8978" width="6.42578125" customWidth="1"/>
    <col min="8979" max="8979" width="12.7109375" customWidth="1"/>
    <col min="8980" max="8980" width="7.42578125" customWidth="1"/>
    <col min="8981" max="8981" width="14.140625" customWidth="1"/>
    <col min="9226" max="9226" width="5" customWidth="1"/>
    <col min="9227" max="9227" width="32.28515625" customWidth="1"/>
    <col min="9228" max="9228" width="16.140625" customWidth="1"/>
    <col min="9229" max="9229" width="13.42578125" customWidth="1"/>
    <col min="9230" max="9230" width="15.7109375" customWidth="1"/>
    <col min="9231" max="9231" width="11.85546875" customWidth="1"/>
    <col min="9232" max="9232" width="7" customWidth="1"/>
    <col min="9233" max="9233" width="12.7109375" customWidth="1"/>
    <col min="9234" max="9234" width="6.42578125" customWidth="1"/>
    <col min="9235" max="9235" width="12.7109375" customWidth="1"/>
    <col min="9236" max="9236" width="7.42578125" customWidth="1"/>
    <col min="9237" max="9237" width="14.140625" customWidth="1"/>
    <col min="9482" max="9482" width="5" customWidth="1"/>
    <col min="9483" max="9483" width="32.28515625" customWidth="1"/>
    <col min="9484" max="9484" width="16.140625" customWidth="1"/>
    <col min="9485" max="9485" width="13.42578125" customWidth="1"/>
    <col min="9486" max="9486" width="15.7109375" customWidth="1"/>
    <col min="9487" max="9487" width="11.85546875" customWidth="1"/>
    <col min="9488" max="9488" width="7" customWidth="1"/>
    <col min="9489" max="9489" width="12.7109375" customWidth="1"/>
    <col min="9490" max="9490" width="6.42578125" customWidth="1"/>
    <col min="9491" max="9491" width="12.7109375" customWidth="1"/>
    <col min="9492" max="9492" width="7.42578125" customWidth="1"/>
    <col min="9493" max="9493" width="14.140625" customWidth="1"/>
    <col min="9738" max="9738" width="5" customWidth="1"/>
    <col min="9739" max="9739" width="32.28515625" customWidth="1"/>
    <col min="9740" max="9740" width="16.140625" customWidth="1"/>
    <col min="9741" max="9741" width="13.42578125" customWidth="1"/>
    <col min="9742" max="9742" width="15.7109375" customWidth="1"/>
    <col min="9743" max="9743" width="11.85546875" customWidth="1"/>
    <col min="9744" max="9744" width="7" customWidth="1"/>
    <col min="9745" max="9745" width="12.7109375" customWidth="1"/>
    <col min="9746" max="9746" width="6.42578125" customWidth="1"/>
    <col min="9747" max="9747" width="12.7109375" customWidth="1"/>
    <col min="9748" max="9748" width="7.42578125" customWidth="1"/>
    <col min="9749" max="9749" width="14.140625" customWidth="1"/>
    <col min="9994" max="9994" width="5" customWidth="1"/>
    <col min="9995" max="9995" width="32.28515625" customWidth="1"/>
    <col min="9996" max="9996" width="16.140625" customWidth="1"/>
    <col min="9997" max="9997" width="13.42578125" customWidth="1"/>
    <col min="9998" max="9998" width="15.7109375" customWidth="1"/>
    <col min="9999" max="9999" width="11.85546875" customWidth="1"/>
    <col min="10000" max="10000" width="7" customWidth="1"/>
    <col min="10001" max="10001" width="12.7109375" customWidth="1"/>
    <col min="10002" max="10002" width="6.42578125" customWidth="1"/>
    <col min="10003" max="10003" width="12.7109375" customWidth="1"/>
    <col min="10004" max="10004" width="7.42578125" customWidth="1"/>
    <col min="10005" max="10005" width="14.140625" customWidth="1"/>
    <col min="10250" max="10250" width="5" customWidth="1"/>
    <col min="10251" max="10251" width="32.28515625" customWidth="1"/>
    <col min="10252" max="10252" width="16.140625" customWidth="1"/>
    <col min="10253" max="10253" width="13.42578125" customWidth="1"/>
    <col min="10254" max="10254" width="15.7109375" customWidth="1"/>
    <col min="10255" max="10255" width="11.85546875" customWidth="1"/>
    <col min="10256" max="10256" width="7" customWidth="1"/>
    <col min="10257" max="10257" width="12.7109375" customWidth="1"/>
    <col min="10258" max="10258" width="6.42578125" customWidth="1"/>
    <col min="10259" max="10259" width="12.7109375" customWidth="1"/>
    <col min="10260" max="10260" width="7.42578125" customWidth="1"/>
    <col min="10261" max="10261" width="14.140625" customWidth="1"/>
    <col min="10506" max="10506" width="5" customWidth="1"/>
    <col min="10507" max="10507" width="32.28515625" customWidth="1"/>
    <col min="10508" max="10508" width="16.140625" customWidth="1"/>
    <col min="10509" max="10509" width="13.42578125" customWidth="1"/>
    <col min="10510" max="10510" width="15.7109375" customWidth="1"/>
    <col min="10511" max="10511" width="11.85546875" customWidth="1"/>
    <col min="10512" max="10512" width="7" customWidth="1"/>
    <col min="10513" max="10513" width="12.7109375" customWidth="1"/>
    <col min="10514" max="10514" width="6.42578125" customWidth="1"/>
    <col min="10515" max="10515" width="12.7109375" customWidth="1"/>
    <col min="10516" max="10516" width="7.42578125" customWidth="1"/>
    <col min="10517" max="10517" width="14.140625" customWidth="1"/>
    <col min="10762" max="10762" width="5" customWidth="1"/>
    <col min="10763" max="10763" width="32.28515625" customWidth="1"/>
    <col min="10764" max="10764" width="16.140625" customWidth="1"/>
    <col min="10765" max="10765" width="13.42578125" customWidth="1"/>
    <col min="10766" max="10766" width="15.7109375" customWidth="1"/>
    <col min="10767" max="10767" width="11.85546875" customWidth="1"/>
    <col min="10768" max="10768" width="7" customWidth="1"/>
    <col min="10769" max="10769" width="12.7109375" customWidth="1"/>
    <col min="10770" max="10770" width="6.42578125" customWidth="1"/>
    <col min="10771" max="10771" width="12.7109375" customWidth="1"/>
    <col min="10772" max="10772" width="7.42578125" customWidth="1"/>
    <col min="10773" max="10773" width="14.140625" customWidth="1"/>
    <col min="11018" max="11018" width="5" customWidth="1"/>
    <col min="11019" max="11019" width="32.28515625" customWidth="1"/>
    <col min="11020" max="11020" width="16.140625" customWidth="1"/>
    <col min="11021" max="11021" width="13.42578125" customWidth="1"/>
    <col min="11022" max="11022" width="15.7109375" customWidth="1"/>
    <col min="11023" max="11023" width="11.85546875" customWidth="1"/>
    <col min="11024" max="11024" width="7" customWidth="1"/>
    <col min="11025" max="11025" width="12.7109375" customWidth="1"/>
    <col min="11026" max="11026" width="6.42578125" customWidth="1"/>
    <col min="11027" max="11027" width="12.7109375" customWidth="1"/>
    <col min="11028" max="11028" width="7.42578125" customWidth="1"/>
    <col min="11029" max="11029" width="14.140625" customWidth="1"/>
    <col min="11274" max="11274" width="5" customWidth="1"/>
    <col min="11275" max="11275" width="32.28515625" customWidth="1"/>
    <col min="11276" max="11276" width="16.140625" customWidth="1"/>
    <col min="11277" max="11277" width="13.42578125" customWidth="1"/>
    <col min="11278" max="11278" width="15.7109375" customWidth="1"/>
    <col min="11279" max="11279" width="11.85546875" customWidth="1"/>
    <col min="11280" max="11280" width="7" customWidth="1"/>
    <col min="11281" max="11281" width="12.7109375" customWidth="1"/>
    <col min="11282" max="11282" width="6.42578125" customWidth="1"/>
    <col min="11283" max="11283" width="12.7109375" customWidth="1"/>
    <col min="11284" max="11284" width="7.42578125" customWidth="1"/>
    <col min="11285" max="11285" width="14.140625" customWidth="1"/>
    <col min="11530" max="11530" width="5" customWidth="1"/>
    <col min="11531" max="11531" width="32.28515625" customWidth="1"/>
    <col min="11532" max="11532" width="16.140625" customWidth="1"/>
    <col min="11533" max="11533" width="13.42578125" customWidth="1"/>
    <col min="11534" max="11534" width="15.7109375" customWidth="1"/>
    <col min="11535" max="11535" width="11.85546875" customWidth="1"/>
    <col min="11536" max="11536" width="7" customWidth="1"/>
    <col min="11537" max="11537" width="12.7109375" customWidth="1"/>
    <col min="11538" max="11538" width="6.42578125" customWidth="1"/>
    <col min="11539" max="11539" width="12.7109375" customWidth="1"/>
    <col min="11540" max="11540" width="7.42578125" customWidth="1"/>
    <col min="11541" max="11541" width="14.140625" customWidth="1"/>
    <col min="11786" max="11786" width="5" customWidth="1"/>
    <col min="11787" max="11787" width="32.28515625" customWidth="1"/>
    <col min="11788" max="11788" width="16.140625" customWidth="1"/>
    <col min="11789" max="11789" width="13.42578125" customWidth="1"/>
    <col min="11790" max="11790" width="15.7109375" customWidth="1"/>
    <col min="11791" max="11791" width="11.85546875" customWidth="1"/>
    <col min="11792" max="11792" width="7" customWidth="1"/>
    <col min="11793" max="11793" width="12.7109375" customWidth="1"/>
    <col min="11794" max="11794" width="6.42578125" customWidth="1"/>
    <col min="11795" max="11795" width="12.7109375" customWidth="1"/>
    <col min="11796" max="11796" width="7.42578125" customWidth="1"/>
    <col min="11797" max="11797" width="14.140625" customWidth="1"/>
    <col min="12042" max="12042" width="5" customWidth="1"/>
    <col min="12043" max="12043" width="32.28515625" customWidth="1"/>
    <col min="12044" max="12044" width="16.140625" customWidth="1"/>
    <col min="12045" max="12045" width="13.42578125" customWidth="1"/>
    <col min="12046" max="12046" width="15.7109375" customWidth="1"/>
    <col min="12047" max="12047" width="11.85546875" customWidth="1"/>
    <col min="12048" max="12048" width="7" customWidth="1"/>
    <col min="12049" max="12049" width="12.7109375" customWidth="1"/>
    <col min="12050" max="12050" width="6.42578125" customWidth="1"/>
    <col min="12051" max="12051" width="12.7109375" customWidth="1"/>
    <col min="12052" max="12052" width="7.42578125" customWidth="1"/>
    <col min="12053" max="12053" width="14.140625" customWidth="1"/>
    <col min="12298" max="12298" width="5" customWidth="1"/>
    <col min="12299" max="12299" width="32.28515625" customWidth="1"/>
    <col min="12300" max="12300" width="16.140625" customWidth="1"/>
    <col min="12301" max="12301" width="13.42578125" customWidth="1"/>
    <col min="12302" max="12302" width="15.7109375" customWidth="1"/>
    <col min="12303" max="12303" width="11.85546875" customWidth="1"/>
    <col min="12304" max="12304" width="7" customWidth="1"/>
    <col min="12305" max="12305" width="12.7109375" customWidth="1"/>
    <col min="12306" max="12306" width="6.42578125" customWidth="1"/>
    <col min="12307" max="12307" width="12.7109375" customWidth="1"/>
    <col min="12308" max="12308" width="7.42578125" customWidth="1"/>
    <col min="12309" max="12309" width="14.140625" customWidth="1"/>
    <col min="12554" max="12554" width="5" customWidth="1"/>
    <col min="12555" max="12555" width="32.28515625" customWidth="1"/>
    <col min="12556" max="12556" width="16.140625" customWidth="1"/>
    <col min="12557" max="12557" width="13.42578125" customWidth="1"/>
    <col min="12558" max="12558" width="15.7109375" customWidth="1"/>
    <col min="12559" max="12559" width="11.85546875" customWidth="1"/>
    <col min="12560" max="12560" width="7" customWidth="1"/>
    <col min="12561" max="12561" width="12.7109375" customWidth="1"/>
    <col min="12562" max="12562" width="6.42578125" customWidth="1"/>
    <col min="12563" max="12563" width="12.7109375" customWidth="1"/>
    <col min="12564" max="12564" width="7.42578125" customWidth="1"/>
    <col min="12565" max="12565" width="14.140625" customWidth="1"/>
    <col min="12810" max="12810" width="5" customWidth="1"/>
    <col min="12811" max="12811" width="32.28515625" customWidth="1"/>
    <col min="12812" max="12812" width="16.140625" customWidth="1"/>
    <col min="12813" max="12813" width="13.42578125" customWidth="1"/>
    <col min="12814" max="12814" width="15.7109375" customWidth="1"/>
    <col min="12815" max="12815" width="11.85546875" customWidth="1"/>
    <col min="12816" max="12816" width="7" customWidth="1"/>
    <col min="12817" max="12817" width="12.7109375" customWidth="1"/>
    <col min="12818" max="12818" width="6.42578125" customWidth="1"/>
    <col min="12819" max="12819" width="12.7109375" customWidth="1"/>
    <col min="12820" max="12820" width="7.42578125" customWidth="1"/>
    <col min="12821" max="12821" width="14.140625" customWidth="1"/>
    <col min="13066" max="13066" width="5" customWidth="1"/>
    <col min="13067" max="13067" width="32.28515625" customWidth="1"/>
    <col min="13068" max="13068" width="16.140625" customWidth="1"/>
    <col min="13069" max="13069" width="13.42578125" customWidth="1"/>
    <col min="13070" max="13070" width="15.7109375" customWidth="1"/>
    <col min="13071" max="13071" width="11.85546875" customWidth="1"/>
    <col min="13072" max="13072" width="7" customWidth="1"/>
    <col min="13073" max="13073" width="12.7109375" customWidth="1"/>
    <col min="13074" max="13074" width="6.42578125" customWidth="1"/>
    <col min="13075" max="13075" width="12.7109375" customWidth="1"/>
    <col min="13076" max="13076" width="7.42578125" customWidth="1"/>
    <col min="13077" max="13077" width="14.140625" customWidth="1"/>
    <col min="13322" max="13322" width="5" customWidth="1"/>
    <col min="13323" max="13323" width="32.28515625" customWidth="1"/>
    <col min="13324" max="13324" width="16.140625" customWidth="1"/>
    <col min="13325" max="13325" width="13.42578125" customWidth="1"/>
    <col min="13326" max="13326" width="15.7109375" customWidth="1"/>
    <col min="13327" max="13327" width="11.85546875" customWidth="1"/>
    <col min="13328" max="13328" width="7" customWidth="1"/>
    <col min="13329" max="13329" width="12.7109375" customWidth="1"/>
    <col min="13330" max="13330" width="6.42578125" customWidth="1"/>
    <col min="13331" max="13331" width="12.7109375" customWidth="1"/>
    <col min="13332" max="13332" width="7.42578125" customWidth="1"/>
    <col min="13333" max="13333" width="14.140625" customWidth="1"/>
    <col min="13578" max="13578" width="5" customWidth="1"/>
    <col min="13579" max="13579" width="32.28515625" customWidth="1"/>
    <col min="13580" max="13580" width="16.140625" customWidth="1"/>
    <col min="13581" max="13581" width="13.42578125" customWidth="1"/>
    <col min="13582" max="13582" width="15.7109375" customWidth="1"/>
    <col min="13583" max="13583" width="11.85546875" customWidth="1"/>
    <col min="13584" max="13584" width="7" customWidth="1"/>
    <col min="13585" max="13585" width="12.7109375" customWidth="1"/>
    <col min="13586" max="13586" width="6.42578125" customWidth="1"/>
    <col min="13587" max="13587" width="12.7109375" customWidth="1"/>
    <col min="13588" max="13588" width="7.42578125" customWidth="1"/>
    <col min="13589" max="13589" width="14.140625" customWidth="1"/>
    <col min="13834" max="13834" width="5" customWidth="1"/>
    <col min="13835" max="13835" width="32.28515625" customWidth="1"/>
    <col min="13836" max="13836" width="16.140625" customWidth="1"/>
    <col min="13837" max="13837" width="13.42578125" customWidth="1"/>
    <col min="13838" max="13838" width="15.7109375" customWidth="1"/>
    <col min="13839" max="13839" width="11.85546875" customWidth="1"/>
    <col min="13840" max="13840" width="7" customWidth="1"/>
    <col min="13841" max="13841" width="12.7109375" customWidth="1"/>
    <col min="13842" max="13842" width="6.42578125" customWidth="1"/>
    <col min="13843" max="13843" width="12.7109375" customWidth="1"/>
    <col min="13844" max="13844" width="7.42578125" customWidth="1"/>
    <col min="13845" max="13845" width="14.140625" customWidth="1"/>
    <col min="14090" max="14090" width="5" customWidth="1"/>
    <col min="14091" max="14091" width="32.28515625" customWidth="1"/>
    <col min="14092" max="14092" width="16.140625" customWidth="1"/>
    <col min="14093" max="14093" width="13.42578125" customWidth="1"/>
    <col min="14094" max="14094" width="15.7109375" customWidth="1"/>
    <col min="14095" max="14095" width="11.85546875" customWidth="1"/>
    <col min="14096" max="14096" width="7" customWidth="1"/>
    <col min="14097" max="14097" width="12.7109375" customWidth="1"/>
    <col min="14098" max="14098" width="6.42578125" customWidth="1"/>
    <col min="14099" max="14099" width="12.7109375" customWidth="1"/>
    <col min="14100" max="14100" width="7.42578125" customWidth="1"/>
    <col min="14101" max="14101" width="14.140625" customWidth="1"/>
    <col min="14346" max="14346" width="5" customWidth="1"/>
    <col min="14347" max="14347" width="32.28515625" customWidth="1"/>
    <col min="14348" max="14348" width="16.140625" customWidth="1"/>
    <col min="14349" max="14349" width="13.42578125" customWidth="1"/>
    <col min="14350" max="14350" width="15.7109375" customWidth="1"/>
    <col min="14351" max="14351" width="11.85546875" customWidth="1"/>
    <col min="14352" max="14352" width="7" customWidth="1"/>
    <col min="14353" max="14353" width="12.7109375" customWidth="1"/>
    <col min="14354" max="14354" width="6.42578125" customWidth="1"/>
    <col min="14355" max="14355" width="12.7109375" customWidth="1"/>
    <col min="14356" max="14356" width="7.42578125" customWidth="1"/>
    <col min="14357" max="14357" width="14.140625" customWidth="1"/>
    <col min="14602" max="14602" width="5" customWidth="1"/>
    <col min="14603" max="14603" width="32.28515625" customWidth="1"/>
    <col min="14604" max="14604" width="16.140625" customWidth="1"/>
    <col min="14605" max="14605" width="13.42578125" customWidth="1"/>
    <col min="14606" max="14606" width="15.7109375" customWidth="1"/>
    <col min="14607" max="14607" width="11.85546875" customWidth="1"/>
    <col min="14608" max="14608" width="7" customWidth="1"/>
    <col min="14609" max="14609" width="12.7109375" customWidth="1"/>
    <col min="14610" max="14610" width="6.42578125" customWidth="1"/>
    <col min="14611" max="14611" width="12.7109375" customWidth="1"/>
    <col min="14612" max="14612" width="7.42578125" customWidth="1"/>
    <col min="14613" max="14613" width="14.140625" customWidth="1"/>
    <col min="14858" max="14858" width="5" customWidth="1"/>
    <col min="14859" max="14859" width="32.28515625" customWidth="1"/>
    <col min="14860" max="14860" width="16.140625" customWidth="1"/>
    <col min="14861" max="14861" width="13.42578125" customWidth="1"/>
    <col min="14862" max="14862" width="15.7109375" customWidth="1"/>
    <col min="14863" max="14863" width="11.85546875" customWidth="1"/>
    <col min="14864" max="14864" width="7" customWidth="1"/>
    <col min="14865" max="14865" width="12.7109375" customWidth="1"/>
    <col min="14866" max="14866" width="6.42578125" customWidth="1"/>
    <col min="14867" max="14867" width="12.7109375" customWidth="1"/>
    <col min="14868" max="14868" width="7.42578125" customWidth="1"/>
    <col min="14869" max="14869" width="14.140625" customWidth="1"/>
    <col min="15114" max="15114" width="5" customWidth="1"/>
    <col min="15115" max="15115" width="32.28515625" customWidth="1"/>
    <col min="15116" max="15116" width="16.140625" customWidth="1"/>
    <col min="15117" max="15117" width="13.42578125" customWidth="1"/>
    <col min="15118" max="15118" width="15.7109375" customWidth="1"/>
    <col min="15119" max="15119" width="11.85546875" customWidth="1"/>
    <col min="15120" max="15120" width="7" customWidth="1"/>
    <col min="15121" max="15121" width="12.7109375" customWidth="1"/>
    <col min="15122" max="15122" width="6.42578125" customWidth="1"/>
    <col min="15123" max="15123" width="12.7109375" customWidth="1"/>
    <col min="15124" max="15124" width="7.42578125" customWidth="1"/>
    <col min="15125" max="15125" width="14.140625" customWidth="1"/>
    <col min="15370" max="15370" width="5" customWidth="1"/>
    <col min="15371" max="15371" width="32.28515625" customWidth="1"/>
    <col min="15372" max="15372" width="16.140625" customWidth="1"/>
    <col min="15373" max="15373" width="13.42578125" customWidth="1"/>
    <col min="15374" max="15374" width="15.7109375" customWidth="1"/>
    <col min="15375" max="15375" width="11.85546875" customWidth="1"/>
    <col min="15376" max="15376" width="7" customWidth="1"/>
    <col min="15377" max="15377" width="12.7109375" customWidth="1"/>
    <col min="15378" max="15378" width="6.42578125" customWidth="1"/>
    <col min="15379" max="15379" width="12.7109375" customWidth="1"/>
    <col min="15380" max="15380" width="7.42578125" customWidth="1"/>
    <col min="15381" max="15381" width="14.140625" customWidth="1"/>
    <col min="15626" max="15626" width="5" customWidth="1"/>
    <col min="15627" max="15627" width="32.28515625" customWidth="1"/>
    <col min="15628" max="15628" width="16.140625" customWidth="1"/>
    <col min="15629" max="15629" width="13.42578125" customWidth="1"/>
    <col min="15630" max="15630" width="15.7109375" customWidth="1"/>
    <col min="15631" max="15631" width="11.85546875" customWidth="1"/>
    <col min="15632" max="15632" width="7" customWidth="1"/>
    <col min="15633" max="15633" width="12.7109375" customWidth="1"/>
    <col min="15634" max="15634" width="6.42578125" customWidth="1"/>
    <col min="15635" max="15635" width="12.7109375" customWidth="1"/>
    <col min="15636" max="15636" width="7.42578125" customWidth="1"/>
    <col min="15637" max="15637" width="14.140625" customWidth="1"/>
    <col min="15882" max="15882" width="5" customWidth="1"/>
    <col min="15883" max="15883" width="32.28515625" customWidth="1"/>
    <col min="15884" max="15884" width="16.140625" customWidth="1"/>
    <col min="15885" max="15885" width="13.42578125" customWidth="1"/>
    <col min="15886" max="15886" width="15.7109375" customWidth="1"/>
    <col min="15887" max="15887" width="11.85546875" customWidth="1"/>
    <col min="15888" max="15888" width="7" customWidth="1"/>
    <col min="15889" max="15889" width="12.7109375" customWidth="1"/>
    <col min="15890" max="15890" width="6.42578125" customWidth="1"/>
    <col min="15891" max="15891" width="12.7109375" customWidth="1"/>
    <col min="15892" max="15892" width="7.42578125" customWidth="1"/>
    <col min="15893" max="15893" width="14.140625" customWidth="1"/>
    <col min="16138" max="16138" width="5" customWidth="1"/>
    <col min="16139" max="16139" width="32.28515625" customWidth="1"/>
    <col min="16140" max="16140" width="16.140625" customWidth="1"/>
    <col min="16141" max="16141" width="13.42578125" customWidth="1"/>
    <col min="16142" max="16142" width="15.7109375" customWidth="1"/>
    <col min="16143" max="16143" width="11.85546875" customWidth="1"/>
    <col min="16144" max="16144" width="7" customWidth="1"/>
    <col min="16145" max="16145" width="12.7109375" customWidth="1"/>
    <col min="16146" max="16146" width="6.42578125" customWidth="1"/>
    <col min="16147" max="16147" width="12.7109375" customWidth="1"/>
    <col min="16148" max="16148" width="7.42578125" customWidth="1"/>
    <col min="16149" max="16149" width="14.140625" customWidth="1"/>
  </cols>
  <sheetData>
    <row r="1" spans="1:28" ht="18" x14ac:dyDescent="0.25">
      <c r="A1" s="206" t="s">
        <v>115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1"/>
      <c r="W1" s="190"/>
      <c r="X1" s="190"/>
      <c r="Y1" s="87"/>
      <c r="Z1" s="87"/>
      <c r="AA1" s="87"/>
      <c r="AB1" s="87"/>
    </row>
    <row r="2" spans="1:28" ht="20.25" customHeight="1" x14ac:dyDescent="0.25">
      <c r="A2" s="206" t="s">
        <v>95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1"/>
      <c r="W2" s="190"/>
      <c r="X2" s="190"/>
      <c r="Y2" s="87"/>
      <c r="Z2" s="87"/>
      <c r="AA2" s="87"/>
      <c r="AB2" s="87"/>
    </row>
    <row r="3" spans="1:28" ht="21.75" customHeight="1" x14ac:dyDescent="0.25">
      <c r="A3" s="206" t="s">
        <v>127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1"/>
      <c r="W3" s="190"/>
      <c r="X3" s="190"/>
      <c r="Y3" s="87"/>
      <c r="Z3" s="87"/>
      <c r="AA3" s="87"/>
      <c r="AB3" s="87"/>
    </row>
    <row r="4" spans="1:28" ht="8.25" customHeight="1" thickBot="1" x14ac:dyDescent="0.3">
      <c r="A4" s="2"/>
      <c r="B4" s="49"/>
      <c r="C4" s="49"/>
      <c r="D4" s="49"/>
      <c r="E4" s="169"/>
      <c r="F4" s="49"/>
      <c r="G4" s="91"/>
      <c r="H4" s="113"/>
      <c r="I4" s="146"/>
      <c r="J4" s="169"/>
      <c r="K4" s="113"/>
      <c r="L4" s="113"/>
      <c r="M4" s="146"/>
      <c r="N4" s="169"/>
      <c r="O4" s="49"/>
      <c r="P4" s="49"/>
      <c r="Q4" s="49"/>
      <c r="R4" s="49"/>
      <c r="S4" s="49"/>
      <c r="T4" s="49"/>
      <c r="U4" s="49"/>
      <c r="V4" s="49"/>
      <c r="W4" s="191"/>
      <c r="X4" s="191"/>
      <c r="Y4" s="87"/>
      <c r="Z4" s="87"/>
      <c r="AA4" s="87"/>
      <c r="AB4" s="87"/>
    </row>
    <row r="5" spans="1:28" s="3" customFormat="1" ht="17.25" customHeight="1" thickTop="1" x14ac:dyDescent="0.25">
      <c r="A5" s="207" t="s">
        <v>0</v>
      </c>
      <c r="B5" s="210" t="s">
        <v>1</v>
      </c>
      <c r="C5" s="213" t="s">
        <v>2</v>
      </c>
      <c r="D5" s="210" t="s">
        <v>3</v>
      </c>
      <c r="E5" s="210" t="s">
        <v>122</v>
      </c>
      <c r="F5" s="210" t="s">
        <v>91</v>
      </c>
      <c r="G5" s="210" t="s">
        <v>107</v>
      </c>
      <c r="H5" s="210" t="s">
        <v>107</v>
      </c>
      <c r="I5" s="210" t="s">
        <v>117</v>
      </c>
      <c r="J5" s="210" t="s">
        <v>123</v>
      </c>
      <c r="K5" s="237" t="s">
        <v>121</v>
      </c>
      <c r="L5" s="240" t="s">
        <v>120</v>
      </c>
      <c r="M5" s="226" t="s">
        <v>119</v>
      </c>
      <c r="N5" s="243" t="s">
        <v>125</v>
      </c>
      <c r="O5" s="230" t="s">
        <v>126</v>
      </c>
      <c r="P5" s="223" t="s">
        <v>8</v>
      </c>
      <c r="Q5" s="216" t="s">
        <v>4</v>
      </c>
      <c r="R5" s="217"/>
      <c r="S5" s="216" t="s">
        <v>5</v>
      </c>
      <c r="T5" s="217"/>
      <c r="U5" s="220" t="s">
        <v>6</v>
      </c>
      <c r="W5" s="155"/>
      <c r="X5" s="155"/>
      <c r="Y5" s="155"/>
      <c r="Z5" s="155"/>
      <c r="AA5" s="155"/>
      <c r="AB5" s="155"/>
    </row>
    <row r="6" spans="1:28" s="3" customFormat="1" ht="7.5" customHeight="1" x14ac:dyDescent="0.25">
      <c r="A6" s="208"/>
      <c r="B6" s="211"/>
      <c r="C6" s="214"/>
      <c r="D6" s="211"/>
      <c r="E6" s="211"/>
      <c r="F6" s="211"/>
      <c r="G6" s="211"/>
      <c r="H6" s="211"/>
      <c r="I6" s="211"/>
      <c r="J6" s="211"/>
      <c r="K6" s="238"/>
      <c r="L6" s="241"/>
      <c r="M6" s="227"/>
      <c r="N6" s="244"/>
      <c r="O6" s="231"/>
      <c r="P6" s="224"/>
      <c r="Q6" s="218"/>
      <c r="R6" s="219"/>
      <c r="S6" s="218"/>
      <c r="T6" s="219"/>
      <c r="U6" s="221"/>
      <c r="W6" s="155"/>
      <c r="X6" s="155"/>
      <c r="Y6" s="155"/>
      <c r="Z6" s="155"/>
      <c r="AA6" s="155"/>
      <c r="AB6" s="155"/>
    </row>
    <row r="7" spans="1:28" s="3" customFormat="1" ht="48.75" customHeight="1" thickBot="1" x14ac:dyDescent="0.3">
      <c r="A7" s="209"/>
      <c r="B7" s="212"/>
      <c r="C7" s="215"/>
      <c r="D7" s="212"/>
      <c r="E7" s="212"/>
      <c r="F7" s="212"/>
      <c r="G7" s="212"/>
      <c r="H7" s="212"/>
      <c r="I7" s="212"/>
      <c r="J7" s="212"/>
      <c r="K7" s="239"/>
      <c r="L7" s="242"/>
      <c r="M7" s="228"/>
      <c r="N7" s="245"/>
      <c r="O7" s="232"/>
      <c r="P7" s="225"/>
      <c r="Q7" s="43" t="s">
        <v>7</v>
      </c>
      <c r="R7" s="43" t="s">
        <v>8</v>
      </c>
      <c r="S7" s="43" t="s">
        <v>7</v>
      </c>
      <c r="T7" s="43" t="s">
        <v>8</v>
      </c>
      <c r="U7" s="222"/>
      <c r="V7" s="155"/>
      <c r="W7" s="155"/>
      <c r="X7" s="182">
        <f>X8-E70</f>
        <v>900000</v>
      </c>
      <c r="Y7" s="155"/>
      <c r="Z7" s="155"/>
      <c r="AA7" s="155"/>
      <c r="AB7" s="155"/>
    </row>
    <row r="8" spans="1:28" s="3" customFormat="1" ht="38.25" x14ac:dyDescent="0.25">
      <c r="A8" s="40" t="s">
        <v>9</v>
      </c>
      <c r="B8" s="41" t="s">
        <v>10</v>
      </c>
      <c r="C8" s="41" t="s">
        <v>11</v>
      </c>
      <c r="D8" s="41" t="s">
        <v>12</v>
      </c>
      <c r="E8" s="41"/>
      <c r="F8" s="41" t="s">
        <v>13</v>
      </c>
      <c r="G8" s="41"/>
      <c r="H8" s="41"/>
      <c r="I8" s="41"/>
      <c r="J8" s="41"/>
      <c r="K8" s="41" t="s">
        <v>14</v>
      </c>
      <c r="L8" s="41"/>
      <c r="M8" s="41"/>
      <c r="N8" s="41"/>
      <c r="O8" s="41" t="s">
        <v>14</v>
      </c>
      <c r="P8" s="41" t="s">
        <v>15</v>
      </c>
      <c r="Q8" s="41" t="s">
        <v>16</v>
      </c>
      <c r="R8" s="41" t="s">
        <v>17</v>
      </c>
      <c r="S8" s="41" t="s">
        <v>18</v>
      </c>
      <c r="T8" s="41" t="s">
        <v>19</v>
      </c>
      <c r="U8" s="42" t="s">
        <v>20</v>
      </c>
      <c r="V8" s="155"/>
      <c r="W8" s="155"/>
      <c r="X8" s="182">
        <f>F11+H11+I11+J11</f>
        <v>4098090250</v>
      </c>
      <c r="Y8" s="182">
        <f>X8-X9-76000000</f>
        <v>1547373512</v>
      </c>
      <c r="Z8" s="182">
        <f>X8-X7</f>
        <v>4097190250</v>
      </c>
      <c r="AA8" s="155"/>
      <c r="AB8" s="155"/>
    </row>
    <row r="9" spans="1:28" s="5" customFormat="1" ht="19.5" customHeight="1" x14ac:dyDescent="0.2">
      <c r="A9" s="28"/>
      <c r="B9" s="4"/>
      <c r="C9" s="4"/>
      <c r="D9" s="4"/>
      <c r="E9" s="4"/>
      <c r="F9" s="100"/>
      <c r="G9" s="4"/>
      <c r="H9" s="100"/>
      <c r="I9" s="100"/>
      <c r="J9" s="100"/>
      <c r="K9" s="92"/>
      <c r="L9" s="137"/>
      <c r="M9" s="147"/>
      <c r="N9" s="171"/>
      <c r="O9" s="132"/>
      <c r="P9" s="4" t="s">
        <v>21</v>
      </c>
      <c r="Q9" s="134" t="s">
        <v>22</v>
      </c>
      <c r="R9" s="4" t="s">
        <v>23</v>
      </c>
      <c r="S9" s="195" t="s">
        <v>24</v>
      </c>
      <c r="T9" s="4" t="s">
        <v>25</v>
      </c>
      <c r="U9" s="29"/>
      <c r="V9" s="187"/>
      <c r="W9" s="187"/>
      <c r="X9" s="192">
        <f>F18+H18+I18+J18</f>
        <v>2474716738</v>
      </c>
      <c r="Y9" s="187"/>
      <c r="Z9" s="192">
        <f>Z8-X9-76000000</f>
        <v>1546473512</v>
      </c>
      <c r="AA9" s="187"/>
      <c r="AB9" s="187"/>
    </row>
    <row r="10" spans="1:28" s="3" customFormat="1" ht="3.75" customHeight="1" x14ac:dyDescent="0.25">
      <c r="A10" s="31"/>
      <c r="B10" s="6"/>
      <c r="C10" s="18"/>
      <c r="D10" s="24"/>
      <c r="E10" s="24"/>
      <c r="F10" s="101"/>
      <c r="G10" s="7"/>
      <c r="H10" s="101"/>
      <c r="I10" s="101"/>
      <c r="J10" s="101"/>
      <c r="K10" s="93"/>
      <c r="L10" s="138"/>
      <c r="M10" s="148"/>
      <c r="N10" s="172"/>
      <c r="O10" s="133"/>
      <c r="P10" s="8"/>
      <c r="Q10" s="135"/>
      <c r="R10" s="8"/>
      <c r="S10" s="196"/>
      <c r="T10" s="8"/>
      <c r="U10" s="64"/>
      <c r="V10" s="155"/>
      <c r="W10" s="155"/>
      <c r="X10" s="155"/>
      <c r="Y10" s="155"/>
      <c r="Z10" s="155"/>
      <c r="AA10" s="155"/>
      <c r="AB10" s="155"/>
    </row>
    <row r="11" spans="1:28" s="3" customFormat="1" x14ac:dyDescent="0.25">
      <c r="A11" s="30" t="s">
        <v>28</v>
      </c>
      <c r="B11" s="44" t="s">
        <v>96</v>
      </c>
      <c r="C11" s="45"/>
      <c r="D11" s="48">
        <f>D12+D47+D50+D57+D63+D66</f>
        <v>4097190250</v>
      </c>
      <c r="E11" s="48">
        <f>E12+E47+E50+E57+E63+E66</f>
        <v>4097190250</v>
      </c>
      <c r="F11" s="102">
        <f>F12+F47+F50+F57+F63+F66</f>
        <v>1734487209.2</v>
      </c>
      <c r="G11" s="102">
        <f t="shared" ref="G11" si="0">G12+G47+G50+G57+G63+G66</f>
        <v>1177015618</v>
      </c>
      <c r="H11" s="102">
        <f t="shared" ref="H11:S11" si="1">H12+H47+H50+H57+H63+H66</f>
        <v>1343612393.04</v>
      </c>
      <c r="I11" s="102">
        <f t="shared" si="1"/>
        <v>522995304.25999999</v>
      </c>
      <c r="J11" s="102">
        <f t="shared" si="1"/>
        <v>496995343.5</v>
      </c>
      <c r="K11" s="94">
        <f t="shared" si="1"/>
        <v>551757790</v>
      </c>
      <c r="L11" s="139">
        <f t="shared" si="1"/>
        <v>1136980645</v>
      </c>
      <c r="M11" s="149">
        <f t="shared" si="1"/>
        <v>616530046</v>
      </c>
      <c r="N11" s="173">
        <f t="shared" si="1"/>
        <v>1517363262</v>
      </c>
      <c r="O11" s="127">
        <f t="shared" si="1"/>
        <v>3822631743</v>
      </c>
      <c r="P11" s="46">
        <f>O11/(F11+H11+I11+J11)*100</f>
        <v>93.278368942704475</v>
      </c>
      <c r="Q11" s="121">
        <f t="shared" si="1"/>
        <v>275458507</v>
      </c>
      <c r="R11" s="47">
        <f t="shared" ref="R11:R42" si="2">Q11/(F11+H11+I11+J11)*100</f>
        <v>6.7216310572955296</v>
      </c>
      <c r="S11" s="197">
        <f t="shared" si="1"/>
        <v>273953507</v>
      </c>
      <c r="T11" s="47">
        <f t="shared" ref="T11:T42" si="3">S11/E11*100</f>
        <v>6.6863750591030033</v>
      </c>
      <c r="U11" s="120">
        <f>P11+R11</f>
        <v>100</v>
      </c>
      <c r="V11" s="188">
        <f>O11-O18</f>
        <v>1543748384</v>
      </c>
      <c r="W11" s="182">
        <f>O11-O18</f>
        <v>1543748384</v>
      </c>
      <c r="X11" s="182">
        <f>W11-73000000</f>
        <v>1470748384</v>
      </c>
      <c r="Y11" s="155"/>
      <c r="Z11" s="155"/>
      <c r="AA11" s="155"/>
      <c r="AB11" s="155"/>
    </row>
    <row r="12" spans="1:28" s="3" customFormat="1" ht="45" customHeight="1" x14ac:dyDescent="0.25">
      <c r="A12" s="32" t="s">
        <v>26</v>
      </c>
      <c r="B12" s="79" t="s">
        <v>46</v>
      </c>
      <c r="C12" s="63"/>
      <c r="D12" s="48">
        <f>D13+D18+D21+D23+D25+D28+D38+D42+D36</f>
        <v>3699721483</v>
      </c>
      <c r="E12" s="48">
        <f>E13+E18+E21+E23+E25+E28+E38+E42+E36</f>
        <v>3692216808</v>
      </c>
      <c r="F12" s="102">
        <f>F13+F18+F21+F23+F25+F28+F38+F42</f>
        <v>1650161105.2</v>
      </c>
      <c r="G12" s="102">
        <f t="shared" ref="G12" si="4">G13+G18+G21+G23+G25+G28+G38+G42</f>
        <v>1101109401</v>
      </c>
      <c r="H12" s="102">
        <f>H13+H18+H21+H25+H28+H36+H38+H42</f>
        <v>1099543331.04</v>
      </c>
      <c r="I12" s="102">
        <f>I13+I18+I21+I25+I28+I36+I38+I42</f>
        <v>483582592.25999999</v>
      </c>
      <c r="J12" s="102">
        <f>J13+J18+J21+J25+J28+J36+J38+J42</f>
        <v>458929779.5</v>
      </c>
      <c r="K12" s="94">
        <f>K13+K18+K21+K23+K25+K28+K38+K42</f>
        <v>522200740</v>
      </c>
      <c r="L12" s="139">
        <f>L13+L18+L21+L23+L25+L28+L38+L42+L36</f>
        <v>1047266795</v>
      </c>
      <c r="M12" s="149">
        <f>M13+M18+M21+M23+M25+M28+M38+M42+M36</f>
        <v>539029216</v>
      </c>
      <c r="N12" s="173">
        <f>N13+N18+N21+N23+N25+N28+N38+N42+N36</f>
        <v>1322249412</v>
      </c>
      <c r="O12" s="127">
        <f>O13+O18+O21+O23+O25+O28+O38+O42+O36</f>
        <v>3430746163</v>
      </c>
      <c r="P12" s="46">
        <f t="shared" ref="P12:P42" si="5">O12/(F12+H12+I12+J12)*100</f>
        <v>92.918329052793808</v>
      </c>
      <c r="Q12" s="121">
        <f>Q13+Q18+Q21+Q23+Q25+Q28+Q38+Q42</f>
        <v>261470645</v>
      </c>
      <c r="R12" s="47">
        <f t="shared" si="2"/>
        <v>7.0816709472061961</v>
      </c>
      <c r="S12" s="197">
        <f>S13+S18+S21+S23+S25+S28+S38+S42</f>
        <v>261470645</v>
      </c>
      <c r="T12" s="47">
        <f t="shared" si="3"/>
        <v>7.0816709472061961</v>
      </c>
      <c r="U12" s="22"/>
      <c r="V12" s="182">
        <f>O12-O18</f>
        <v>1151862804</v>
      </c>
      <c r="W12" s="193">
        <v>92364361</v>
      </c>
      <c r="X12" s="182"/>
      <c r="Y12" s="155"/>
      <c r="Z12" s="182">
        <f>Z8-Y8</f>
        <v>2549816738</v>
      </c>
      <c r="AA12" s="155"/>
      <c r="AB12" s="155"/>
    </row>
    <row r="13" spans="1:28" s="3" customFormat="1" ht="45" customHeight="1" x14ac:dyDescent="0.25">
      <c r="A13" s="32"/>
      <c r="B13" s="45" t="s">
        <v>47</v>
      </c>
      <c r="C13" s="63"/>
      <c r="D13" s="48">
        <f>SUM(D14:D17)</f>
        <v>55205300</v>
      </c>
      <c r="E13" s="48">
        <f>SUM(E14:E17)</f>
        <v>44295300</v>
      </c>
      <c r="F13" s="102">
        <f>SUM(F14:F17)</f>
        <v>11742600</v>
      </c>
      <c r="G13" s="102">
        <f t="shared" ref="G13" si="6">SUM(G14:G17)</f>
        <v>12135693</v>
      </c>
      <c r="H13" s="102">
        <f t="shared" ref="H13:O13" si="7">SUM(H14:H17)</f>
        <v>14062700</v>
      </c>
      <c r="I13" s="102">
        <f t="shared" si="7"/>
        <v>7470000</v>
      </c>
      <c r="J13" s="102">
        <f t="shared" ref="J13" si="8">SUM(J14:J17)</f>
        <v>11020000</v>
      </c>
      <c r="K13" s="94">
        <f t="shared" si="7"/>
        <v>2880000</v>
      </c>
      <c r="L13" s="139">
        <f t="shared" si="7"/>
        <v>3821600</v>
      </c>
      <c r="M13" s="149">
        <f t="shared" si="7"/>
        <v>4300800</v>
      </c>
      <c r="N13" s="173">
        <f t="shared" si="7"/>
        <v>27918725</v>
      </c>
      <c r="O13" s="127">
        <f t="shared" si="7"/>
        <v>38921125</v>
      </c>
      <c r="P13" s="46">
        <f t="shared" si="5"/>
        <v>87.867392251548139</v>
      </c>
      <c r="Q13" s="121">
        <f>SUM(Q14:Q17)</f>
        <v>5374175</v>
      </c>
      <c r="R13" s="47">
        <f t="shared" si="2"/>
        <v>12.132607748451868</v>
      </c>
      <c r="S13" s="197">
        <f>SUM(S14:S17)</f>
        <v>5374175</v>
      </c>
      <c r="T13" s="47">
        <f t="shared" si="3"/>
        <v>12.132607748451868</v>
      </c>
      <c r="U13" s="22"/>
      <c r="V13" s="182">
        <f>V12-73000000</f>
        <v>1078862804</v>
      </c>
      <c r="W13" s="155"/>
      <c r="X13" s="155"/>
      <c r="Y13" s="155"/>
      <c r="Z13" s="182">
        <f>O18+W12</f>
        <v>2371247720</v>
      </c>
      <c r="AA13" s="155"/>
      <c r="AB13" s="155"/>
    </row>
    <row r="14" spans="1:28" s="3" customFormat="1" ht="27.75" customHeight="1" x14ac:dyDescent="0.25">
      <c r="A14" s="33" t="s">
        <v>26</v>
      </c>
      <c r="B14" s="15" t="s">
        <v>48</v>
      </c>
      <c r="C14" s="18" t="s">
        <v>86</v>
      </c>
      <c r="D14" s="25">
        <v>24529900</v>
      </c>
      <c r="E14" s="25">
        <v>16519900</v>
      </c>
      <c r="F14" s="103">
        <v>4824400</v>
      </c>
      <c r="G14" s="25">
        <v>4325570</v>
      </c>
      <c r="H14" s="103">
        <v>4525500</v>
      </c>
      <c r="I14" s="103">
        <v>4920000</v>
      </c>
      <c r="J14" s="103">
        <v>2250000</v>
      </c>
      <c r="K14" s="95">
        <v>2250000</v>
      </c>
      <c r="L14" s="140">
        <f>4471400-K14</f>
        <v>2221400</v>
      </c>
      <c r="M14" s="150">
        <f>210000+750000+750000</f>
        <v>1710000</v>
      </c>
      <c r="N14" s="174">
        <f>14333400-K14-L14-M14</f>
        <v>8152000</v>
      </c>
      <c r="O14" s="128">
        <f>K14+L14+M14+N14</f>
        <v>14333400</v>
      </c>
      <c r="P14" s="46">
        <f t="shared" si="5"/>
        <v>86.764447726681155</v>
      </c>
      <c r="Q14" s="122">
        <f>(F14+H14+I14+J14)-O14</f>
        <v>2186500</v>
      </c>
      <c r="R14" s="47">
        <f t="shared" si="2"/>
        <v>13.235552273318845</v>
      </c>
      <c r="S14" s="198">
        <f>E14-O14</f>
        <v>2186500</v>
      </c>
      <c r="T14" s="47">
        <f t="shared" si="3"/>
        <v>13.235552273318845</v>
      </c>
      <c r="U14" s="22"/>
      <c r="V14" s="189">
        <f>9179900-O14</f>
        <v>-5153500</v>
      </c>
      <c r="W14" s="155"/>
      <c r="X14" s="155"/>
      <c r="Y14" s="155"/>
      <c r="Z14" s="155"/>
      <c r="AA14" s="155"/>
      <c r="AB14" s="155"/>
    </row>
    <row r="15" spans="1:28" s="3" customFormat="1" ht="24.75" customHeight="1" x14ac:dyDescent="0.25">
      <c r="A15" s="34" t="s">
        <v>27</v>
      </c>
      <c r="B15" s="16" t="s">
        <v>50</v>
      </c>
      <c r="C15" s="18" t="s">
        <v>86</v>
      </c>
      <c r="D15" s="26">
        <v>6638100</v>
      </c>
      <c r="E15" s="26">
        <v>3018100</v>
      </c>
      <c r="F15" s="103">
        <v>2063300</v>
      </c>
      <c r="G15" s="26">
        <v>1388308</v>
      </c>
      <c r="H15" s="103">
        <v>954800</v>
      </c>
      <c r="I15" s="103">
        <v>0</v>
      </c>
      <c r="J15" s="103">
        <v>0</v>
      </c>
      <c r="K15" s="95">
        <v>0</v>
      </c>
      <c r="L15" s="140">
        <v>934800</v>
      </c>
      <c r="M15" s="150">
        <v>0</v>
      </c>
      <c r="N15" s="174">
        <f>2818100-L15</f>
        <v>1883300</v>
      </c>
      <c r="O15" s="128">
        <f t="shared" ref="O15:O17" si="9">K15+L15+M15+N15</f>
        <v>2818100</v>
      </c>
      <c r="P15" s="46">
        <f t="shared" si="5"/>
        <v>93.37331433683444</v>
      </c>
      <c r="Q15" s="122">
        <f>(F15+H15+I15+J15)-O15</f>
        <v>200000</v>
      </c>
      <c r="R15" s="47">
        <f t="shared" si="2"/>
        <v>6.6266856631655671</v>
      </c>
      <c r="S15" s="198">
        <f>E15-O15</f>
        <v>200000</v>
      </c>
      <c r="T15" s="47">
        <f t="shared" si="3"/>
        <v>6.6266856631655671</v>
      </c>
      <c r="U15" s="65"/>
      <c r="V15" s="182">
        <f>2598100-O15</f>
        <v>-220000</v>
      </c>
      <c r="W15" s="155"/>
      <c r="X15" s="155"/>
      <c r="Y15" s="155"/>
      <c r="Z15" s="155"/>
      <c r="AA15" s="155"/>
      <c r="AB15" s="155"/>
    </row>
    <row r="16" spans="1:28" s="3" customFormat="1" ht="26.25" customHeight="1" x14ac:dyDescent="0.25">
      <c r="A16" s="34" t="s">
        <v>37</v>
      </c>
      <c r="B16" s="16" t="s">
        <v>51</v>
      </c>
      <c r="C16" s="18" t="s">
        <v>86</v>
      </c>
      <c r="D16" s="26">
        <v>2684900</v>
      </c>
      <c r="E16" s="26">
        <v>2494900</v>
      </c>
      <c r="F16" s="103">
        <v>1924900</v>
      </c>
      <c r="G16" s="26">
        <v>1279860</v>
      </c>
      <c r="H16" s="103">
        <v>0</v>
      </c>
      <c r="I16" s="103">
        <v>570000</v>
      </c>
      <c r="J16" s="103">
        <v>0</v>
      </c>
      <c r="K16" s="95">
        <v>420000</v>
      </c>
      <c r="L16" s="140">
        <v>0</v>
      </c>
      <c r="M16" s="150">
        <f>280800+1050000</f>
        <v>1330800</v>
      </c>
      <c r="N16" s="174">
        <f>2378100-K16-M16</f>
        <v>627300</v>
      </c>
      <c r="O16" s="128">
        <f t="shared" si="9"/>
        <v>2378100</v>
      </c>
      <c r="P16" s="46">
        <f>O16/(F16+H16+I16+J16)*100</f>
        <v>95.318449637260002</v>
      </c>
      <c r="Q16" s="122">
        <f>(F16+H16+I16+J16)-O16</f>
        <v>116800</v>
      </c>
      <c r="R16" s="47">
        <f t="shared" si="2"/>
        <v>4.6815503627399897</v>
      </c>
      <c r="S16" s="198">
        <f>E16-O16</f>
        <v>116800</v>
      </c>
      <c r="T16" s="47">
        <f t="shared" si="3"/>
        <v>4.6815503627399897</v>
      </c>
      <c r="U16" s="118"/>
      <c r="V16" s="182">
        <f>O16-2378100</f>
        <v>0</v>
      </c>
      <c r="W16" s="155"/>
      <c r="X16" s="155"/>
      <c r="Y16" s="155"/>
      <c r="Z16" s="155"/>
      <c r="AA16" s="155"/>
      <c r="AB16" s="155"/>
    </row>
    <row r="17" spans="1:28" s="3" customFormat="1" ht="18.75" customHeight="1" x14ac:dyDescent="0.25">
      <c r="A17" s="35" t="s">
        <v>35</v>
      </c>
      <c r="B17" s="16" t="s">
        <v>49</v>
      </c>
      <c r="C17" s="18" t="s">
        <v>86</v>
      </c>
      <c r="D17" s="26">
        <v>21352400</v>
      </c>
      <c r="E17" s="26">
        <v>22262400</v>
      </c>
      <c r="F17" s="103">
        <v>2930000</v>
      </c>
      <c r="G17" s="26">
        <v>5141955</v>
      </c>
      <c r="H17" s="103">
        <v>8582400</v>
      </c>
      <c r="I17" s="103">
        <v>1980000</v>
      </c>
      <c r="J17" s="103">
        <v>8770000</v>
      </c>
      <c r="K17" s="95">
        <v>210000</v>
      </c>
      <c r="L17" s="140">
        <f>875400-K17</f>
        <v>665400</v>
      </c>
      <c r="M17" s="150">
        <v>1260000</v>
      </c>
      <c r="N17" s="174">
        <f>19391525-M17-L17-K17</f>
        <v>17256125</v>
      </c>
      <c r="O17" s="128">
        <f t="shared" si="9"/>
        <v>19391525</v>
      </c>
      <c r="P17" s="46">
        <f t="shared" si="5"/>
        <v>87.104377784964782</v>
      </c>
      <c r="Q17" s="122">
        <f>(F17+H17+I17+J17)-O17</f>
        <v>2870875</v>
      </c>
      <c r="R17" s="47">
        <f t="shared" si="2"/>
        <v>12.895622215035216</v>
      </c>
      <c r="S17" s="198">
        <f>E17-O17</f>
        <v>2870875</v>
      </c>
      <c r="T17" s="47">
        <f t="shared" si="3"/>
        <v>12.895622215035216</v>
      </c>
      <c r="U17" s="117"/>
      <c r="V17" s="155"/>
      <c r="W17" s="155"/>
      <c r="X17" s="155"/>
      <c r="Y17" s="155"/>
      <c r="Z17" s="155"/>
      <c r="AA17" s="155"/>
      <c r="AB17" s="155"/>
    </row>
    <row r="18" spans="1:28" s="3" customFormat="1" ht="24" customHeight="1" x14ac:dyDescent="0.25">
      <c r="A18" s="35"/>
      <c r="B18" s="68" t="s">
        <v>52</v>
      </c>
      <c r="C18" s="18"/>
      <c r="D18" s="76">
        <f>SUM(D19:D20)</f>
        <v>2650753263</v>
      </c>
      <c r="E18" s="76">
        <f>SUM(E19:E20)</f>
        <v>2474716738</v>
      </c>
      <c r="F18" s="104">
        <f>SUM(F19:F20)</f>
        <v>1305586932.2</v>
      </c>
      <c r="G18" s="104">
        <f t="shared" ref="G18:J18" si="10">SUM(G19:G20)</f>
        <v>723703792</v>
      </c>
      <c r="H18" s="104">
        <f t="shared" si="10"/>
        <v>794364095.03999996</v>
      </c>
      <c r="I18" s="104">
        <f t="shared" si="10"/>
        <v>278515968.25999999</v>
      </c>
      <c r="J18" s="104">
        <f t="shared" si="10"/>
        <v>96249742.5</v>
      </c>
      <c r="K18" s="96">
        <f>SUM(K19:K20)</f>
        <v>394094225</v>
      </c>
      <c r="L18" s="141">
        <f>SUM(L19:L20)</f>
        <v>871563245</v>
      </c>
      <c r="M18" s="151">
        <f>SUM(M19:M20)</f>
        <v>315998169</v>
      </c>
      <c r="N18" s="175">
        <f>SUM(N19:N20)</f>
        <v>697227720</v>
      </c>
      <c r="O18" s="129">
        <f>SUM(O19:O20)</f>
        <v>2278883359</v>
      </c>
      <c r="P18" s="46">
        <f t="shared" si="5"/>
        <v>92.086634563345328</v>
      </c>
      <c r="Q18" s="123">
        <f>SUM(Q19:Q20)</f>
        <v>195833379</v>
      </c>
      <c r="R18" s="47">
        <f t="shared" si="2"/>
        <v>7.913365436654674</v>
      </c>
      <c r="S18" s="199">
        <f>SUM(S19:S20)</f>
        <v>195833379</v>
      </c>
      <c r="T18" s="47">
        <f t="shared" si="3"/>
        <v>7.913365436654674</v>
      </c>
      <c r="U18" s="38"/>
      <c r="V18" s="182">
        <f>2060383319-O18</f>
        <v>-218500040</v>
      </c>
      <c r="W18" s="155"/>
      <c r="X18" s="155"/>
      <c r="Y18" s="155"/>
      <c r="Z18" s="155"/>
      <c r="AA18" s="155"/>
      <c r="AB18" s="155"/>
    </row>
    <row r="19" spans="1:28" s="3" customFormat="1" ht="19.5" customHeight="1" x14ac:dyDescent="0.25">
      <c r="A19" s="35" t="s">
        <v>38</v>
      </c>
      <c r="B19" s="16" t="s">
        <v>92</v>
      </c>
      <c r="C19" s="18" t="s">
        <v>116</v>
      </c>
      <c r="D19" s="26">
        <v>2626513263</v>
      </c>
      <c r="E19" s="26">
        <v>2449756738</v>
      </c>
      <c r="F19" s="103">
        <v>1299526932.2</v>
      </c>
      <c r="G19" s="25">
        <v>717403792</v>
      </c>
      <c r="H19" s="103">
        <v>788304095.03999996</v>
      </c>
      <c r="I19" s="103">
        <v>272455968.25999999</v>
      </c>
      <c r="J19" s="170">
        <v>89469742.5</v>
      </c>
      <c r="K19" s="95">
        <v>388034225</v>
      </c>
      <c r="L19" s="140">
        <f>101016194+199546411+67440000+101016194+66717645+101016194+104203647+63076960+63490000</f>
        <v>867523245</v>
      </c>
      <c r="M19" s="150">
        <f>159429111+152529058</f>
        <v>311958169</v>
      </c>
      <c r="N19" s="174">
        <f>2253923359-M19-L19-K19</f>
        <v>686407720</v>
      </c>
      <c r="O19" s="128">
        <f t="shared" ref="O19:O20" si="11">K19+L19+M19+N19</f>
        <v>2253923359</v>
      </c>
      <c r="P19" s="46">
        <f t="shared" si="5"/>
        <v>92.006007128696382</v>
      </c>
      <c r="Q19" s="122">
        <f>(F19+H19+I19+J19)-O19</f>
        <v>195833379</v>
      </c>
      <c r="R19" s="47">
        <f t="shared" si="2"/>
        <v>7.9939928713036164</v>
      </c>
      <c r="S19" s="198">
        <f>E19-O19</f>
        <v>195833379</v>
      </c>
      <c r="T19" s="47">
        <f t="shared" si="3"/>
        <v>7.9939928713036164</v>
      </c>
      <c r="U19" s="65"/>
      <c r="V19" s="182">
        <f>2039583319-O19</f>
        <v>-214340040</v>
      </c>
      <c r="W19" s="155"/>
      <c r="X19" s="155"/>
      <c r="Y19" s="155"/>
      <c r="Z19" s="155"/>
      <c r="AA19" s="155"/>
      <c r="AB19" s="155"/>
    </row>
    <row r="20" spans="1:28" s="3" customFormat="1" ht="27" customHeight="1" x14ac:dyDescent="0.25">
      <c r="A20" s="34" t="s">
        <v>39</v>
      </c>
      <c r="B20" s="16" t="s">
        <v>53</v>
      </c>
      <c r="C20" s="18" t="s">
        <v>116</v>
      </c>
      <c r="D20" s="26">
        <v>24240000</v>
      </c>
      <c r="E20" s="26">
        <v>24960000</v>
      </c>
      <c r="F20" s="103">
        <v>6060000</v>
      </c>
      <c r="G20" s="25">
        <v>6300000</v>
      </c>
      <c r="H20" s="103">
        <v>6060000</v>
      </c>
      <c r="I20" s="103">
        <v>6060000</v>
      </c>
      <c r="J20" s="103">
        <v>6780000</v>
      </c>
      <c r="K20" s="95">
        <v>6060000</v>
      </c>
      <c r="L20" s="140">
        <f>2020000*2</f>
        <v>4040000</v>
      </c>
      <c r="M20" s="150">
        <f>2020000+2020000</f>
        <v>4040000</v>
      </c>
      <c r="N20" s="174">
        <f>24960000-M20-L20-K20</f>
        <v>10820000</v>
      </c>
      <c r="O20" s="128">
        <f t="shared" si="11"/>
        <v>24960000</v>
      </c>
      <c r="P20" s="46">
        <f>O20/(F20+H20+I20+J20)*100</f>
        <v>100</v>
      </c>
      <c r="Q20" s="122">
        <f>(F20+H20+I20+J20)-O20</f>
        <v>0</v>
      </c>
      <c r="R20" s="47">
        <f t="shared" si="2"/>
        <v>0</v>
      </c>
      <c r="S20" s="198">
        <f>E20-O20</f>
        <v>0</v>
      </c>
      <c r="T20" s="47">
        <f t="shared" si="3"/>
        <v>0</v>
      </c>
      <c r="U20" s="22"/>
      <c r="V20" s="183">
        <f>20800000-O20</f>
        <v>-4160000</v>
      </c>
      <c r="W20" s="155"/>
      <c r="X20" s="155"/>
      <c r="Y20" s="155"/>
      <c r="Z20" s="155"/>
      <c r="AA20" s="155"/>
      <c r="AB20" s="155"/>
    </row>
    <row r="21" spans="1:28" s="3" customFormat="1" ht="27" customHeight="1" x14ac:dyDescent="0.25">
      <c r="A21" s="34"/>
      <c r="B21" s="68" t="s">
        <v>55</v>
      </c>
      <c r="C21" s="18"/>
      <c r="D21" s="76">
        <f>SUM(D22)</f>
        <v>19958550</v>
      </c>
      <c r="E21" s="76">
        <f>SUM(E22)</f>
        <v>19958550</v>
      </c>
      <c r="F21" s="104">
        <f>SUM(F22)</f>
        <v>5648550</v>
      </c>
      <c r="G21" s="104">
        <f t="shared" ref="G21:J21" si="12">SUM(G22)</f>
        <v>4189298</v>
      </c>
      <c r="H21" s="104">
        <f t="shared" si="12"/>
        <v>4770000</v>
      </c>
      <c r="I21" s="104">
        <f t="shared" si="12"/>
        <v>4770000</v>
      </c>
      <c r="J21" s="104">
        <f t="shared" si="12"/>
        <v>4770000</v>
      </c>
      <c r="K21" s="96">
        <f>SUM(K22)</f>
        <v>3050000</v>
      </c>
      <c r="L21" s="141">
        <f>SUM(L22)</f>
        <v>3270000</v>
      </c>
      <c r="M21" s="151">
        <f>SUM(M22)</f>
        <v>2400000</v>
      </c>
      <c r="N21" s="175">
        <f>SUM(N22)</f>
        <v>8852000</v>
      </c>
      <c r="O21" s="129">
        <f>SUM(O22)</f>
        <v>17572000</v>
      </c>
      <c r="P21" s="46">
        <f t="shared" si="5"/>
        <v>88.042468014961003</v>
      </c>
      <c r="Q21" s="123">
        <f>SUM(Q22)</f>
        <v>2386550</v>
      </c>
      <c r="R21" s="47">
        <f t="shared" si="2"/>
        <v>11.957531985038994</v>
      </c>
      <c r="S21" s="199">
        <f>SUM(S22)</f>
        <v>2386550</v>
      </c>
      <c r="T21" s="47">
        <f t="shared" si="3"/>
        <v>11.957531985038994</v>
      </c>
      <c r="U21" s="22"/>
      <c r="V21" s="183">
        <f>V20-V19-10000000-66000000</f>
        <v>134180040</v>
      </c>
      <c r="W21" s="155"/>
      <c r="X21" s="155"/>
      <c r="Y21" s="155"/>
      <c r="Z21" s="155"/>
      <c r="AA21" s="155"/>
      <c r="AB21" s="155"/>
    </row>
    <row r="22" spans="1:28" s="3" customFormat="1" ht="24.75" customHeight="1" x14ac:dyDescent="0.25">
      <c r="A22" s="34" t="s">
        <v>40</v>
      </c>
      <c r="B22" s="16" t="s">
        <v>57</v>
      </c>
      <c r="C22" s="18" t="s">
        <v>116</v>
      </c>
      <c r="D22" s="26">
        <v>19958550</v>
      </c>
      <c r="E22" s="26">
        <v>19958550</v>
      </c>
      <c r="F22" s="103">
        <v>5648550</v>
      </c>
      <c r="G22" s="25">
        <v>4189298</v>
      </c>
      <c r="H22" s="103">
        <v>4770000</v>
      </c>
      <c r="I22" s="103">
        <v>4770000</v>
      </c>
      <c r="J22" s="103">
        <v>4770000</v>
      </c>
      <c r="K22" s="95">
        <v>3050000</v>
      </c>
      <c r="L22" s="140">
        <f>6320000-K22</f>
        <v>3270000</v>
      </c>
      <c r="M22" s="150">
        <f>750000+1150000+500000</f>
        <v>2400000</v>
      </c>
      <c r="N22" s="174">
        <f>17572000-K22-L22-M22</f>
        <v>8852000</v>
      </c>
      <c r="O22" s="128">
        <f>K22+L22+M22+N22</f>
        <v>17572000</v>
      </c>
      <c r="P22" s="46">
        <f t="shared" si="5"/>
        <v>88.042468014961003</v>
      </c>
      <c r="Q22" s="122">
        <f>(F22+H22+I22+J22)-O22</f>
        <v>2386550</v>
      </c>
      <c r="R22" s="47">
        <f t="shared" si="2"/>
        <v>11.957531985038994</v>
      </c>
      <c r="S22" s="198">
        <f>E22-O22</f>
        <v>2386550</v>
      </c>
      <c r="T22" s="47">
        <f t="shared" si="3"/>
        <v>11.957531985038994</v>
      </c>
      <c r="U22" s="58"/>
      <c r="V22" s="182">
        <f>13722000-O22</f>
        <v>-3850000</v>
      </c>
      <c r="W22" s="155"/>
      <c r="X22" s="155"/>
      <c r="Y22" s="155"/>
      <c r="Z22" s="155"/>
      <c r="AA22" s="155"/>
      <c r="AB22" s="155"/>
    </row>
    <row r="23" spans="1:28" s="3" customFormat="1" ht="24.75" customHeight="1" x14ac:dyDescent="0.25">
      <c r="A23" s="34" t="s">
        <v>31</v>
      </c>
      <c r="B23" s="68" t="s">
        <v>56</v>
      </c>
      <c r="C23" s="18"/>
      <c r="D23" s="76">
        <f>SUM(D24)</f>
        <v>0</v>
      </c>
      <c r="E23" s="76">
        <f>SUM(E24)</f>
        <v>0</v>
      </c>
      <c r="F23" s="104">
        <f>SUM(F24)</f>
        <v>0</v>
      </c>
      <c r="G23" s="104">
        <f t="shared" ref="G23:J23" si="13">SUM(G24)</f>
        <v>15006265</v>
      </c>
      <c r="H23" s="104">
        <f t="shared" si="13"/>
        <v>0</v>
      </c>
      <c r="I23" s="104">
        <f t="shared" si="13"/>
        <v>0</v>
      </c>
      <c r="J23" s="104">
        <f t="shared" si="13"/>
        <v>0</v>
      </c>
      <c r="K23" s="96">
        <f>SUM(K24)</f>
        <v>0</v>
      </c>
      <c r="L23" s="141">
        <f>SUM(L24)</f>
        <v>0</v>
      </c>
      <c r="M23" s="151">
        <v>0</v>
      </c>
      <c r="N23" s="175">
        <v>0</v>
      </c>
      <c r="O23" s="128">
        <f t="shared" ref="O23:O24" si="14">K23+L23+M23</f>
        <v>0</v>
      </c>
      <c r="P23" s="46" t="e">
        <f t="shared" si="5"/>
        <v>#DIV/0!</v>
      </c>
      <c r="Q23" s="122">
        <f>(F23+H23+I23+J23)-O23</f>
        <v>0</v>
      </c>
      <c r="R23" s="47" t="e">
        <f t="shared" si="2"/>
        <v>#DIV/0!</v>
      </c>
      <c r="S23" s="198">
        <f>E23-O23</f>
        <v>0</v>
      </c>
      <c r="T23" s="47" t="e">
        <f t="shared" si="3"/>
        <v>#DIV/0!</v>
      </c>
      <c r="U23" s="58"/>
      <c r="V23" s="155"/>
      <c r="W23" s="155"/>
      <c r="X23" s="155"/>
      <c r="Y23" s="155"/>
      <c r="Z23" s="155"/>
      <c r="AA23" s="155"/>
      <c r="AB23" s="155"/>
    </row>
    <row r="24" spans="1:28" s="3" customFormat="1" ht="24.75" customHeight="1" x14ac:dyDescent="0.25">
      <c r="A24" s="34" t="s">
        <v>33</v>
      </c>
      <c r="B24" s="16" t="s">
        <v>69</v>
      </c>
      <c r="C24" s="18"/>
      <c r="D24" s="26">
        <v>0</v>
      </c>
      <c r="E24" s="26">
        <v>0</v>
      </c>
      <c r="F24" s="103">
        <v>0</v>
      </c>
      <c r="G24" s="25">
        <v>15006265</v>
      </c>
      <c r="H24" s="103">
        <v>0</v>
      </c>
      <c r="I24" s="103">
        <v>0</v>
      </c>
      <c r="J24" s="103">
        <v>0</v>
      </c>
      <c r="K24" s="95">
        <v>0</v>
      </c>
      <c r="L24" s="140">
        <v>0</v>
      </c>
      <c r="M24" s="150">
        <v>0</v>
      </c>
      <c r="N24" s="174">
        <v>0</v>
      </c>
      <c r="O24" s="128">
        <f t="shared" si="14"/>
        <v>0</v>
      </c>
      <c r="P24" s="46" t="e">
        <f t="shared" si="5"/>
        <v>#DIV/0!</v>
      </c>
      <c r="Q24" s="122">
        <f>(F24+H24+I24+J24)-O24</f>
        <v>0</v>
      </c>
      <c r="R24" s="47" t="e">
        <f t="shared" si="2"/>
        <v>#DIV/0!</v>
      </c>
      <c r="S24" s="198">
        <f>E24-O24</f>
        <v>0</v>
      </c>
      <c r="T24" s="47" t="e">
        <f t="shared" si="3"/>
        <v>#DIV/0!</v>
      </c>
      <c r="U24" s="58"/>
      <c r="V24" s="155"/>
      <c r="W24" s="155"/>
      <c r="X24" s="155"/>
      <c r="Y24" s="155"/>
      <c r="Z24" s="155"/>
      <c r="AA24" s="155"/>
      <c r="AB24" s="155"/>
    </row>
    <row r="25" spans="1:28" s="3" customFormat="1" ht="24.75" customHeight="1" x14ac:dyDescent="0.25">
      <c r="A25" s="34" t="s">
        <v>41</v>
      </c>
      <c r="B25" s="68" t="s">
        <v>54</v>
      </c>
      <c r="C25" s="18"/>
      <c r="D25" s="76">
        <f>SUM(D26:D27)</f>
        <v>66048500</v>
      </c>
      <c r="E25" s="76">
        <f>SUM(E26:E27)</f>
        <v>85048500</v>
      </c>
      <c r="F25" s="104">
        <f>SUM(F26:F27)</f>
        <v>44538500</v>
      </c>
      <c r="G25" s="104">
        <f t="shared" ref="G25:J25" si="15">SUM(G26:G27)</f>
        <v>12183237</v>
      </c>
      <c r="H25" s="104">
        <f t="shared" si="15"/>
        <v>7500000</v>
      </c>
      <c r="I25" s="104">
        <f t="shared" si="15"/>
        <v>6110000</v>
      </c>
      <c r="J25" s="104">
        <f t="shared" si="15"/>
        <v>26900000</v>
      </c>
      <c r="K25" s="96">
        <f>SUM(K26:K27)</f>
        <v>5581500</v>
      </c>
      <c r="L25" s="141">
        <f>SUM(L26:L27)</f>
        <v>2000000</v>
      </c>
      <c r="M25" s="151">
        <f>SUM(M26:M27)</f>
        <v>11083000</v>
      </c>
      <c r="N25" s="175">
        <f>SUM(N26:N27)</f>
        <v>32840500</v>
      </c>
      <c r="O25" s="129">
        <f>SUM(O26:O27)</f>
        <v>51505000</v>
      </c>
      <c r="P25" s="46">
        <f t="shared" si="5"/>
        <v>60.559563072834912</v>
      </c>
      <c r="Q25" s="123">
        <f>SUM(Q26:Q27)</f>
        <v>33543500</v>
      </c>
      <c r="R25" s="47">
        <f t="shared" si="2"/>
        <v>39.440436927165088</v>
      </c>
      <c r="S25" s="200">
        <f>SUM(S26:S27)</f>
        <v>33543500</v>
      </c>
      <c r="T25" s="47">
        <f t="shared" si="3"/>
        <v>39.440436927165088</v>
      </c>
      <c r="U25" s="59"/>
      <c r="V25" s="155"/>
      <c r="W25" s="155"/>
      <c r="X25" s="155"/>
      <c r="Y25" s="155"/>
      <c r="Z25" s="155"/>
      <c r="AA25" s="155"/>
      <c r="AB25" s="155"/>
    </row>
    <row r="26" spans="1:28" s="3" customFormat="1" ht="25.5" customHeight="1" x14ac:dyDescent="0.25">
      <c r="A26" s="34" t="s">
        <v>34</v>
      </c>
      <c r="B26" s="16" t="s">
        <v>70</v>
      </c>
      <c r="C26" s="18" t="s">
        <v>86</v>
      </c>
      <c r="D26" s="26">
        <v>27148500</v>
      </c>
      <c r="E26" s="26">
        <v>22248500</v>
      </c>
      <c r="F26" s="103">
        <v>5638500</v>
      </c>
      <c r="G26" s="26">
        <v>3178237</v>
      </c>
      <c r="H26" s="103">
        <v>7500000</v>
      </c>
      <c r="I26" s="103">
        <v>6110000</v>
      </c>
      <c r="J26" s="103">
        <v>3000000</v>
      </c>
      <c r="K26" s="95">
        <f>3000000+420000</f>
        <v>3420000</v>
      </c>
      <c r="L26" s="140">
        <v>2000000</v>
      </c>
      <c r="M26" s="150">
        <f>1000000+210000+1000000+2940000</f>
        <v>5150000</v>
      </c>
      <c r="N26" s="174">
        <f>22031000-M26-L26-K26</f>
        <v>11461000</v>
      </c>
      <c r="O26" s="128">
        <f t="shared" ref="O26:O27" si="16">K26+L26+M26+N26</f>
        <v>22031000</v>
      </c>
      <c r="P26" s="46">
        <f t="shared" si="5"/>
        <v>99.02240600489921</v>
      </c>
      <c r="Q26" s="122">
        <f>(F26+H26+I26+J26)-O26</f>
        <v>217500</v>
      </c>
      <c r="R26" s="47">
        <f t="shared" si="2"/>
        <v>0.97759399510079326</v>
      </c>
      <c r="S26" s="198">
        <f>E26-O26</f>
        <v>217500</v>
      </c>
      <c r="T26" s="47">
        <f t="shared" si="3"/>
        <v>0.97759399510079326</v>
      </c>
      <c r="U26" s="59"/>
      <c r="V26" s="182">
        <f>19260000-O26</f>
        <v>-2771000</v>
      </c>
      <c r="W26" s="155"/>
      <c r="X26" s="155"/>
      <c r="Y26" s="155"/>
      <c r="Z26" s="155"/>
      <c r="AA26" s="155"/>
      <c r="AB26" s="155"/>
    </row>
    <row r="27" spans="1:28" s="3" customFormat="1" ht="26.25" customHeight="1" x14ac:dyDescent="0.25">
      <c r="A27" s="34" t="s">
        <v>42</v>
      </c>
      <c r="B27" s="16" t="s">
        <v>71</v>
      </c>
      <c r="C27" s="18" t="s">
        <v>86</v>
      </c>
      <c r="D27" s="26">
        <v>38900000</v>
      </c>
      <c r="E27" s="26">
        <v>62800000</v>
      </c>
      <c r="F27" s="103">
        <v>38900000</v>
      </c>
      <c r="G27" s="26">
        <v>9005000</v>
      </c>
      <c r="H27" s="103">
        <v>0</v>
      </c>
      <c r="I27" s="103">
        <v>0</v>
      </c>
      <c r="J27" s="103">
        <v>23900000</v>
      </c>
      <c r="K27" s="95">
        <v>2161500</v>
      </c>
      <c r="L27" s="140">
        <v>0</v>
      </c>
      <c r="M27" s="150">
        <v>5933000</v>
      </c>
      <c r="N27" s="174">
        <f>29474000-M27-K27</f>
        <v>21379500</v>
      </c>
      <c r="O27" s="128">
        <f t="shared" si="16"/>
        <v>29474000</v>
      </c>
      <c r="P27" s="46">
        <f t="shared" si="5"/>
        <v>46.933121019108285</v>
      </c>
      <c r="Q27" s="122">
        <f>(F27+H27+I27+J27)-O27</f>
        <v>33326000</v>
      </c>
      <c r="R27" s="47">
        <f t="shared" si="2"/>
        <v>53.066878980891715</v>
      </c>
      <c r="S27" s="198">
        <f>E27-O27</f>
        <v>33326000</v>
      </c>
      <c r="T27" s="47">
        <f t="shared" si="3"/>
        <v>53.066878980891715</v>
      </c>
      <c r="U27" s="58"/>
      <c r="V27" s="155"/>
      <c r="W27" s="155"/>
      <c r="X27" s="155"/>
      <c r="Y27" s="155"/>
      <c r="Z27" s="155"/>
      <c r="AA27" s="155"/>
      <c r="AB27" s="155"/>
    </row>
    <row r="28" spans="1:28" s="3" customFormat="1" ht="24.75" customHeight="1" x14ac:dyDescent="0.25">
      <c r="A28" s="34" t="s">
        <v>43</v>
      </c>
      <c r="B28" s="68" t="s">
        <v>58</v>
      </c>
      <c r="C28" s="18"/>
      <c r="D28" s="76">
        <f>SUM(D29:D35)</f>
        <v>456577500</v>
      </c>
      <c r="E28" s="76">
        <f>SUM(E29:E35)</f>
        <v>620068750</v>
      </c>
      <c r="F28" s="104">
        <f>SUM(F29:F35)</f>
        <v>173923175</v>
      </c>
      <c r="G28" s="104">
        <f t="shared" ref="G28" si="17">SUM(G29:G35)</f>
        <v>183929690</v>
      </c>
      <c r="H28" s="104">
        <f t="shared" ref="H28:O28" si="18">SUM(H29:H35)</f>
        <v>136187025</v>
      </c>
      <c r="I28" s="104">
        <f t="shared" si="18"/>
        <v>90791350</v>
      </c>
      <c r="J28" s="104">
        <f t="shared" si="18"/>
        <v>219167200</v>
      </c>
      <c r="K28" s="96">
        <f t="shared" si="18"/>
        <v>52829050</v>
      </c>
      <c r="L28" s="141">
        <f t="shared" si="18"/>
        <v>86294450</v>
      </c>
      <c r="M28" s="151">
        <f t="shared" si="18"/>
        <v>123512900</v>
      </c>
      <c r="N28" s="175">
        <f t="shared" si="18"/>
        <v>350268692</v>
      </c>
      <c r="O28" s="129">
        <f t="shared" si="18"/>
        <v>612905092</v>
      </c>
      <c r="P28" s="46">
        <f t="shared" si="5"/>
        <v>98.844699398252217</v>
      </c>
      <c r="Q28" s="123">
        <f>SUM(Q29:Q35)</f>
        <v>7163658</v>
      </c>
      <c r="R28" s="47">
        <f t="shared" si="2"/>
        <v>1.15530060174779</v>
      </c>
      <c r="S28" s="200">
        <f>SUM(S29:S35)</f>
        <v>7163658</v>
      </c>
      <c r="T28" s="47">
        <f t="shared" si="3"/>
        <v>1.15530060174779</v>
      </c>
      <c r="U28" s="59"/>
      <c r="V28" s="184"/>
      <c r="W28" s="194"/>
      <c r="X28" s="155"/>
      <c r="Y28" s="155"/>
      <c r="Z28" s="155"/>
      <c r="AA28" s="155"/>
      <c r="AB28" s="155"/>
    </row>
    <row r="29" spans="1:28" s="3" customFormat="1" ht="42" customHeight="1" x14ac:dyDescent="0.25">
      <c r="A29" s="32" t="s">
        <v>27</v>
      </c>
      <c r="B29" s="16" t="s">
        <v>72</v>
      </c>
      <c r="C29" s="18" t="s">
        <v>116</v>
      </c>
      <c r="D29" s="25">
        <v>5681000</v>
      </c>
      <c r="E29" s="25">
        <v>7181000</v>
      </c>
      <c r="F29" s="105">
        <v>1704300</v>
      </c>
      <c r="G29" s="19">
        <v>1702040</v>
      </c>
      <c r="H29" s="105">
        <v>1704300</v>
      </c>
      <c r="I29" s="105">
        <v>1136200</v>
      </c>
      <c r="J29" s="105">
        <v>2636200</v>
      </c>
      <c r="K29" s="95">
        <v>1004000</v>
      </c>
      <c r="L29" s="142">
        <f>2317000-K29</f>
        <v>1313000</v>
      </c>
      <c r="M29" s="150">
        <v>488000</v>
      </c>
      <c r="N29" s="174">
        <f>7181000-M29-L29-K29</f>
        <v>4376000</v>
      </c>
      <c r="O29" s="128">
        <f t="shared" ref="O29:O35" si="19">K29+L29+M29+N29</f>
        <v>7181000</v>
      </c>
      <c r="P29" s="46">
        <f t="shared" si="5"/>
        <v>100</v>
      </c>
      <c r="Q29" s="122">
        <f t="shared" ref="Q29:Q35" si="20">(F29+H29+I29+J29)-O29</f>
        <v>0</v>
      </c>
      <c r="R29" s="47">
        <f t="shared" si="2"/>
        <v>0</v>
      </c>
      <c r="S29" s="198">
        <f t="shared" ref="S29:S35" si="21">E29-O29</f>
        <v>0</v>
      </c>
      <c r="T29" s="47">
        <f t="shared" si="3"/>
        <v>0</v>
      </c>
      <c r="U29" s="22"/>
      <c r="V29" s="182">
        <f>5681000-O29</f>
        <v>-1500000</v>
      </c>
      <c r="W29" s="155"/>
      <c r="X29" s="155"/>
      <c r="Y29" s="155"/>
      <c r="Z29" s="155"/>
      <c r="AA29" s="155"/>
      <c r="AB29" s="155"/>
    </row>
    <row r="30" spans="1:28" s="3" customFormat="1" ht="23.25" customHeight="1" x14ac:dyDescent="0.25">
      <c r="A30" s="32"/>
      <c r="B30" s="21" t="s">
        <v>97</v>
      </c>
      <c r="C30" s="18" t="s">
        <v>116</v>
      </c>
      <c r="D30" s="27">
        <v>6597500</v>
      </c>
      <c r="E30" s="27">
        <v>6597500</v>
      </c>
      <c r="F30" s="105">
        <v>2639000</v>
      </c>
      <c r="G30" s="19">
        <v>2639000</v>
      </c>
      <c r="H30" s="103">
        <v>1979250</v>
      </c>
      <c r="I30" s="103">
        <v>1319500</v>
      </c>
      <c r="J30" s="103">
        <v>659750</v>
      </c>
      <c r="K30" s="95">
        <v>0</v>
      </c>
      <c r="L30" s="140">
        <v>0</v>
      </c>
      <c r="M30" s="150">
        <v>0</v>
      </c>
      <c r="N30" s="174">
        <v>6597500</v>
      </c>
      <c r="O30" s="128">
        <f t="shared" si="19"/>
        <v>6597500</v>
      </c>
      <c r="P30" s="46">
        <f t="shared" si="5"/>
        <v>100</v>
      </c>
      <c r="Q30" s="122">
        <f t="shared" si="20"/>
        <v>0</v>
      </c>
      <c r="R30" s="47">
        <f t="shared" si="2"/>
        <v>0</v>
      </c>
      <c r="S30" s="198">
        <f t="shared" si="21"/>
        <v>0</v>
      </c>
      <c r="T30" s="47">
        <f t="shared" si="3"/>
        <v>0</v>
      </c>
      <c r="U30" s="22"/>
      <c r="V30" s="155"/>
      <c r="W30" s="155"/>
      <c r="X30" s="155"/>
      <c r="Y30" s="155"/>
      <c r="Z30" s="155"/>
      <c r="AA30" s="155"/>
      <c r="AB30" s="155"/>
    </row>
    <row r="31" spans="1:28" s="3" customFormat="1" x14ac:dyDescent="0.25">
      <c r="A31" s="34" t="s">
        <v>39</v>
      </c>
      <c r="B31" s="16" t="s">
        <v>73</v>
      </c>
      <c r="C31" s="18" t="s">
        <v>116</v>
      </c>
      <c r="D31" s="26">
        <v>8092550</v>
      </c>
      <c r="E31" s="26">
        <v>8471800</v>
      </c>
      <c r="F31" s="105">
        <v>2091540</v>
      </c>
      <c r="G31" s="20">
        <v>2564130</v>
      </c>
      <c r="H31" s="103">
        <v>2091540</v>
      </c>
      <c r="I31" s="103">
        <v>1394360</v>
      </c>
      <c r="J31" s="103">
        <v>2894360</v>
      </c>
      <c r="K31" s="95">
        <v>1036000</v>
      </c>
      <c r="L31" s="140">
        <f>2679550-K31</f>
        <v>1643550</v>
      </c>
      <c r="M31" s="150">
        <v>564000</v>
      </c>
      <c r="N31" s="174">
        <f>8304800-K31-L31-M31</f>
        <v>5061250</v>
      </c>
      <c r="O31" s="128">
        <f t="shared" si="19"/>
        <v>8304800</v>
      </c>
      <c r="P31" s="46">
        <f t="shared" si="5"/>
        <v>98.02875421988243</v>
      </c>
      <c r="Q31" s="122">
        <f t="shared" si="20"/>
        <v>167000</v>
      </c>
      <c r="R31" s="47">
        <f t="shared" si="2"/>
        <v>1.9712457801175667</v>
      </c>
      <c r="S31" s="198">
        <f t="shared" si="21"/>
        <v>167000</v>
      </c>
      <c r="T31" s="47">
        <f t="shared" si="3"/>
        <v>1.9712457801175667</v>
      </c>
      <c r="U31" s="58"/>
      <c r="V31" s="182">
        <f>6804800-O31</f>
        <v>-1500000</v>
      </c>
      <c r="W31" s="155"/>
      <c r="X31" s="155"/>
      <c r="Y31" s="155"/>
      <c r="Z31" s="155"/>
      <c r="AA31" s="155"/>
      <c r="AB31" s="155"/>
    </row>
    <row r="32" spans="1:28" s="3" customFormat="1" ht="25.5" x14ac:dyDescent="0.25">
      <c r="A32" s="34" t="s">
        <v>32</v>
      </c>
      <c r="B32" s="16" t="s">
        <v>74</v>
      </c>
      <c r="C32" s="18" t="s">
        <v>116</v>
      </c>
      <c r="D32" s="26">
        <v>21282450</v>
      </c>
      <c r="E32" s="26">
        <v>21242450</v>
      </c>
      <c r="F32" s="105">
        <v>6384735</v>
      </c>
      <c r="G32" s="20">
        <v>8828520</v>
      </c>
      <c r="H32" s="103">
        <v>6384735</v>
      </c>
      <c r="I32" s="103">
        <v>4256490</v>
      </c>
      <c r="J32" s="103">
        <v>4216490</v>
      </c>
      <c r="K32" s="95">
        <v>1312050</v>
      </c>
      <c r="L32" s="140">
        <f>4046150-K32</f>
        <v>2734100</v>
      </c>
      <c r="M32" s="150">
        <v>2223900</v>
      </c>
      <c r="N32" s="174">
        <f>20032450-M32-L32-K32</f>
        <v>13762400</v>
      </c>
      <c r="O32" s="128">
        <f t="shared" si="19"/>
        <v>20032450</v>
      </c>
      <c r="P32" s="46">
        <f t="shared" si="5"/>
        <v>94.30385854738978</v>
      </c>
      <c r="Q32" s="122">
        <f t="shared" si="20"/>
        <v>1210000</v>
      </c>
      <c r="R32" s="47">
        <f t="shared" si="2"/>
        <v>5.6961414526102212</v>
      </c>
      <c r="S32" s="198">
        <f t="shared" si="21"/>
        <v>1210000</v>
      </c>
      <c r="T32" s="47">
        <f t="shared" si="3"/>
        <v>5.6961414526102212</v>
      </c>
      <c r="U32" s="58"/>
      <c r="V32" s="182">
        <f>9736050-O32</f>
        <v>-10296400</v>
      </c>
      <c r="W32" s="155"/>
      <c r="X32" s="155"/>
      <c r="Y32" s="155"/>
      <c r="Z32" s="155"/>
      <c r="AA32" s="155"/>
      <c r="AB32" s="155"/>
    </row>
    <row r="33" spans="1:28" s="3" customFormat="1" ht="25.5" x14ac:dyDescent="0.25">
      <c r="A33" s="34" t="s">
        <v>44</v>
      </c>
      <c r="B33" s="16" t="s">
        <v>75</v>
      </c>
      <c r="C33" s="18" t="s">
        <v>116</v>
      </c>
      <c r="D33" s="26">
        <v>12660000</v>
      </c>
      <c r="E33" s="26">
        <v>12980000</v>
      </c>
      <c r="F33" s="103">
        <v>3798000</v>
      </c>
      <c r="G33" s="26">
        <v>4440000</v>
      </c>
      <c r="H33" s="103">
        <v>3798000</v>
      </c>
      <c r="I33" s="103">
        <v>2532000</v>
      </c>
      <c r="J33" s="103">
        <v>2852000</v>
      </c>
      <c r="K33" s="95">
        <v>1500000</v>
      </c>
      <c r="L33" s="140">
        <f>4000000-K33</f>
        <v>2500000</v>
      </c>
      <c r="M33" s="150">
        <f>1125000+1250000</f>
        <v>2375000</v>
      </c>
      <c r="N33" s="174">
        <f>12000000-M33-L33-K33</f>
        <v>5625000</v>
      </c>
      <c r="O33" s="128">
        <f t="shared" si="19"/>
        <v>12000000</v>
      </c>
      <c r="P33" s="46">
        <f t="shared" si="5"/>
        <v>92.449922958397536</v>
      </c>
      <c r="Q33" s="122">
        <f t="shared" si="20"/>
        <v>980000</v>
      </c>
      <c r="R33" s="47">
        <f t="shared" si="2"/>
        <v>7.5500770416024654</v>
      </c>
      <c r="S33" s="198">
        <f t="shared" si="21"/>
        <v>980000</v>
      </c>
      <c r="T33" s="47">
        <f t="shared" si="3"/>
        <v>7.5500770416024654</v>
      </c>
      <c r="U33" s="58"/>
      <c r="V33" s="182">
        <f>9750000-O33</f>
        <v>-2250000</v>
      </c>
      <c r="W33" s="155"/>
      <c r="X33" s="155"/>
      <c r="Y33" s="155"/>
      <c r="Z33" s="155"/>
      <c r="AA33" s="155"/>
      <c r="AB33" s="155"/>
    </row>
    <row r="34" spans="1:28" s="3" customFormat="1" ht="15" customHeight="1" x14ac:dyDescent="0.25">
      <c r="A34" s="34" t="s">
        <v>43</v>
      </c>
      <c r="B34" s="16" t="s">
        <v>76</v>
      </c>
      <c r="C34" s="18" t="s">
        <v>116</v>
      </c>
      <c r="D34" s="26">
        <v>177350000</v>
      </c>
      <c r="E34" s="26">
        <v>258305000</v>
      </c>
      <c r="F34" s="103">
        <v>70940000</v>
      </c>
      <c r="G34" s="26">
        <v>65956000</v>
      </c>
      <c r="H34" s="103">
        <v>53205000</v>
      </c>
      <c r="I34" s="103">
        <v>35470000</v>
      </c>
      <c r="J34" s="103">
        <v>98690000</v>
      </c>
      <c r="K34" s="95">
        <v>20070000</v>
      </c>
      <c r="L34" s="140">
        <f>60120000-K34</f>
        <v>40050000</v>
      </c>
      <c r="M34" s="150">
        <f>6975000+1560000+1625000+39060000+4500000</f>
        <v>53720000</v>
      </c>
      <c r="N34" s="174">
        <f>258270000-M34-L34-K34</f>
        <v>144430000</v>
      </c>
      <c r="O34" s="128">
        <f t="shared" si="19"/>
        <v>258270000</v>
      </c>
      <c r="P34" s="46">
        <f t="shared" si="5"/>
        <v>99.9864501267881</v>
      </c>
      <c r="Q34" s="122">
        <f t="shared" si="20"/>
        <v>35000</v>
      </c>
      <c r="R34" s="47">
        <f t="shared" si="2"/>
        <v>1.3549873211900659E-2</v>
      </c>
      <c r="S34" s="198">
        <f t="shared" si="21"/>
        <v>35000</v>
      </c>
      <c r="T34" s="47">
        <f t="shared" si="3"/>
        <v>1.3549873211900659E-2</v>
      </c>
      <c r="U34" s="58"/>
      <c r="V34" s="182">
        <f>203300000-O34</f>
        <v>-54970000</v>
      </c>
      <c r="W34" s="155"/>
      <c r="X34" s="155"/>
      <c r="Y34" s="155"/>
      <c r="Z34" s="155"/>
      <c r="AA34" s="155"/>
      <c r="AB34" s="155"/>
    </row>
    <row r="35" spans="1:28" s="3" customFormat="1" ht="33.75" customHeight="1" x14ac:dyDescent="0.25">
      <c r="A35" s="34" t="s">
        <v>45</v>
      </c>
      <c r="B35" s="16" t="s">
        <v>77</v>
      </c>
      <c r="C35" s="18" t="s">
        <v>116</v>
      </c>
      <c r="D35" s="26">
        <v>224914000</v>
      </c>
      <c r="E35" s="26">
        <v>305291000</v>
      </c>
      <c r="F35" s="103">
        <v>86365600</v>
      </c>
      <c r="G35" s="26">
        <v>97800000</v>
      </c>
      <c r="H35" s="103">
        <v>67024200</v>
      </c>
      <c r="I35" s="103">
        <v>44682800</v>
      </c>
      <c r="J35" s="103">
        <v>107218400</v>
      </c>
      <c r="K35" s="95">
        <v>27907000</v>
      </c>
      <c r="L35" s="140">
        <f>62960800-K35+3000000</f>
        <v>38053800</v>
      </c>
      <c r="M35" s="150">
        <f>4995000+15927500+200000+10552500+1500000+10134500+1500000+600000+18732500</f>
        <v>64142000</v>
      </c>
      <c r="N35" s="174">
        <f>300519342-M35-L35-K35</f>
        <v>170416542</v>
      </c>
      <c r="O35" s="128">
        <f t="shared" si="19"/>
        <v>300519342</v>
      </c>
      <c r="P35" s="46">
        <f t="shared" si="5"/>
        <v>98.437013210346848</v>
      </c>
      <c r="Q35" s="122">
        <f t="shared" si="20"/>
        <v>4771658</v>
      </c>
      <c r="R35" s="47">
        <f t="shared" si="2"/>
        <v>1.5629867896531509</v>
      </c>
      <c r="S35" s="198">
        <f t="shared" si="21"/>
        <v>4771658</v>
      </c>
      <c r="T35" s="47">
        <f t="shared" si="3"/>
        <v>1.5629867896531509</v>
      </c>
      <c r="U35" s="59"/>
      <c r="V35" s="182">
        <f>220452910-O35</f>
        <v>-80066432</v>
      </c>
      <c r="W35" s="155"/>
      <c r="X35" s="155"/>
      <c r="Y35" s="155"/>
      <c r="Z35" s="155"/>
      <c r="AA35" s="155"/>
      <c r="AB35" s="155"/>
    </row>
    <row r="36" spans="1:28" s="3" customFormat="1" ht="38.25" customHeight="1" x14ac:dyDescent="0.25">
      <c r="A36" s="36"/>
      <c r="B36" s="70" t="s">
        <v>112</v>
      </c>
      <c r="C36" s="114"/>
      <c r="D36" s="115">
        <f>D37</f>
        <v>10000000</v>
      </c>
      <c r="E36" s="115">
        <f>E37</f>
        <v>10000000</v>
      </c>
      <c r="F36" s="115">
        <f t="shared" ref="F36:S36" si="22">F37</f>
        <v>0</v>
      </c>
      <c r="G36" s="115">
        <f t="shared" si="22"/>
        <v>0</v>
      </c>
      <c r="H36" s="106">
        <f t="shared" si="22"/>
        <v>10000000</v>
      </c>
      <c r="I36" s="106">
        <f t="shared" si="22"/>
        <v>0</v>
      </c>
      <c r="J36" s="106">
        <f t="shared" si="22"/>
        <v>0</v>
      </c>
      <c r="K36" s="97">
        <f t="shared" si="22"/>
        <v>0</v>
      </c>
      <c r="L36" s="143">
        <f t="shared" si="22"/>
        <v>10000000</v>
      </c>
      <c r="M36" s="152">
        <f t="shared" si="22"/>
        <v>0</v>
      </c>
      <c r="N36" s="176">
        <f t="shared" si="22"/>
        <v>0</v>
      </c>
      <c r="O36" s="130">
        <f t="shared" si="22"/>
        <v>10000000</v>
      </c>
      <c r="P36" s="46">
        <f t="shared" si="5"/>
        <v>100</v>
      </c>
      <c r="Q36" s="122">
        <f>(F36+H36+I36)-O36</f>
        <v>0</v>
      </c>
      <c r="R36" s="47">
        <f t="shared" si="2"/>
        <v>0</v>
      </c>
      <c r="S36" s="201">
        <f t="shared" si="22"/>
        <v>0</v>
      </c>
      <c r="T36" s="47">
        <f t="shared" si="3"/>
        <v>0</v>
      </c>
      <c r="U36" s="112"/>
      <c r="V36" s="155"/>
      <c r="W36" s="155"/>
      <c r="X36" s="155"/>
      <c r="Y36" s="155"/>
      <c r="Z36" s="155"/>
      <c r="AA36" s="155"/>
      <c r="AB36" s="155"/>
    </row>
    <row r="37" spans="1:28" s="3" customFormat="1" ht="24" customHeight="1" x14ac:dyDescent="0.25">
      <c r="A37" s="36"/>
      <c r="B37" s="109" t="s">
        <v>113</v>
      </c>
      <c r="C37" s="18" t="s">
        <v>116</v>
      </c>
      <c r="D37" s="110">
        <v>10000000</v>
      </c>
      <c r="E37" s="110">
        <v>10000000</v>
      </c>
      <c r="F37" s="107">
        <v>0</v>
      </c>
      <c r="G37" s="110"/>
      <c r="H37" s="107">
        <v>10000000</v>
      </c>
      <c r="I37" s="107">
        <v>0</v>
      </c>
      <c r="J37" s="107">
        <v>0</v>
      </c>
      <c r="K37" s="111">
        <v>0</v>
      </c>
      <c r="L37" s="144">
        <v>10000000</v>
      </c>
      <c r="M37" s="153">
        <v>0</v>
      </c>
      <c r="N37" s="177">
        <v>0</v>
      </c>
      <c r="O37" s="128">
        <f>K37+L37+M37+N37</f>
        <v>10000000</v>
      </c>
      <c r="P37" s="46">
        <f t="shared" si="5"/>
        <v>100</v>
      </c>
      <c r="Q37" s="122">
        <f>(F37+H37+I37+J37)-O37</f>
        <v>0</v>
      </c>
      <c r="R37" s="47">
        <f t="shared" si="2"/>
        <v>0</v>
      </c>
      <c r="S37" s="198">
        <f>E37-O37</f>
        <v>0</v>
      </c>
      <c r="T37" s="47">
        <f t="shared" si="3"/>
        <v>0</v>
      </c>
      <c r="U37" s="112"/>
      <c r="V37" s="155"/>
      <c r="W37" s="155"/>
      <c r="X37" s="155"/>
      <c r="Y37" s="155"/>
      <c r="Z37" s="155"/>
      <c r="AA37" s="155"/>
      <c r="AB37" s="155"/>
    </row>
    <row r="38" spans="1:28" s="3" customFormat="1" ht="32.25" customHeight="1" x14ac:dyDescent="0.25">
      <c r="A38" s="36" t="s">
        <v>35</v>
      </c>
      <c r="B38" s="70" t="s">
        <v>59</v>
      </c>
      <c r="C38" s="18"/>
      <c r="D38" s="51">
        <f>SUM(D39:D41)</f>
        <v>355068370</v>
      </c>
      <c r="E38" s="51">
        <f>SUM(E39:E41)</f>
        <v>335268970</v>
      </c>
      <c r="F38" s="106">
        <f>SUM(F39:F41)</f>
        <v>94147348</v>
      </c>
      <c r="G38" s="106">
        <f t="shared" ref="G38:J38" si="23">SUM(G39:G41)</f>
        <v>122969426</v>
      </c>
      <c r="H38" s="106">
        <f t="shared" si="23"/>
        <v>87375511</v>
      </c>
      <c r="I38" s="106">
        <f t="shared" si="23"/>
        <v>79389274</v>
      </c>
      <c r="J38" s="106">
        <f t="shared" si="23"/>
        <v>74356837</v>
      </c>
      <c r="K38" s="97">
        <f>SUM(K39:K41)</f>
        <v>62478965</v>
      </c>
      <c r="L38" s="143">
        <f>SUM(L39:L41)</f>
        <v>55087300</v>
      </c>
      <c r="M38" s="152">
        <f>SUM(M39:M41)</f>
        <v>61720800</v>
      </c>
      <c r="N38" s="176">
        <f>SUM(N39:N41)</f>
        <v>151571923</v>
      </c>
      <c r="O38" s="130">
        <f>SUM(O39:O41)</f>
        <v>330858988</v>
      </c>
      <c r="P38" s="46">
        <f t="shared" si="5"/>
        <v>98.684643556485412</v>
      </c>
      <c r="Q38" s="123">
        <f>SUM(Q39:Q41)</f>
        <v>4409982</v>
      </c>
      <c r="R38" s="47">
        <f t="shared" si="2"/>
        <v>1.3153564435145906</v>
      </c>
      <c r="S38" s="200">
        <f>SUM(S39:S41)</f>
        <v>4409982</v>
      </c>
      <c r="T38" s="47">
        <f t="shared" si="3"/>
        <v>1.3153564435145906</v>
      </c>
      <c r="U38" s="37"/>
      <c r="V38" s="185"/>
      <c r="W38" s="155"/>
      <c r="X38" s="155"/>
      <c r="Y38" s="155"/>
      <c r="Z38" s="155"/>
      <c r="AA38" s="155"/>
      <c r="AB38" s="155"/>
    </row>
    <row r="39" spans="1:28" s="3" customFormat="1" ht="21.75" customHeight="1" x14ac:dyDescent="0.25">
      <c r="A39" s="81" t="s">
        <v>39</v>
      </c>
      <c r="B39" s="69" t="s">
        <v>36</v>
      </c>
      <c r="C39" s="18" t="s">
        <v>116</v>
      </c>
      <c r="D39" s="27">
        <v>27818370</v>
      </c>
      <c r="E39" s="27">
        <v>29643370</v>
      </c>
      <c r="F39" s="105">
        <v>11127348</v>
      </c>
      <c r="G39" s="19">
        <v>10501426</v>
      </c>
      <c r="H39" s="103">
        <v>8345511</v>
      </c>
      <c r="I39" s="103">
        <v>5563674</v>
      </c>
      <c r="J39" s="103">
        <v>4606837</v>
      </c>
      <c r="K39" s="95">
        <v>662665</v>
      </c>
      <c r="L39" s="140">
        <f>3573665-K39</f>
        <v>2911000</v>
      </c>
      <c r="M39" s="150">
        <f>772000+1350000+1091500+2132500+640000+783000+1085500+280000</f>
        <v>8134500</v>
      </c>
      <c r="N39" s="174">
        <f>27970740-M39-L39-K39</f>
        <v>16262575</v>
      </c>
      <c r="O39" s="128">
        <f t="shared" ref="O39:O41" si="24">K39+L39+M39+N39</f>
        <v>27970740</v>
      </c>
      <c r="P39" s="46">
        <f t="shared" si="5"/>
        <v>94.357490393298733</v>
      </c>
      <c r="Q39" s="122">
        <f>(F39+H39+I39+J39)-O39</f>
        <v>1672630</v>
      </c>
      <c r="R39" s="47">
        <f t="shared" si="2"/>
        <v>5.6425096067012621</v>
      </c>
      <c r="S39" s="198">
        <f>E39-O39</f>
        <v>1672630</v>
      </c>
      <c r="T39" s="47">
        <f t="shared" si="3"/>
        <v>5.6425096067012621</v>
      </c>
      <c r="U39" s="22"/>
      <c r="V39" s="155"/>
      <c r="W39" s="155"/>
      <c r="X39" s="155"/>
      <c r="Y39" s="155"/>
      <c r="Z39" s="155"/>
      <c r="AA39" s="155"/>
      <c r="AB39" s="155"/>
    </row>
    <row r="40" spans="1:28" s="3" customFormat="1" ht="27" customHeight="1" x14ac:dyDescent="0.25">
      <c r="A40" s="36" t="s">
        <v>26</v>
      </c>
      <c r="B40" s="21" t="s">
        <v>78</v>
      </c>
      <c r="C40" s="18" t="s">
        <v>116</v>
      </c>
      <c r="D40" s="25">
        <v>60250000</v>
      </c>
      <c r="E40" s="27">
        <v>35625600</v>
      </c>
      <c r="F40" s="107">
        <v>16270000</v>
      </c>
      <c r="G40" s="27">
        <v>32968000</v>
      </c>
      <c r="H40" s="107">
        <v>12280000</v>
      </c>
      <c r="I40" s="107">
        <v>7075600</v>
      </c>
      <c r="J40" s="107">
        <v>0</v>
      </c>
      <c r="K40" s="98">
        <v>2666300</v>
      </c>
      <c r="L40" s="144">
        <f>8342600-K40</f>
        <v>5676300</v>
      </c>
      <c r="M40" s="153">
        <f>3412500+831900+1002500+3007500+831900</f>
        <v>9086300</v>
      </c>
      <c r="N40" s="177">
        <f>32888248-M40-L40-K40</f>
        <v>15459348</v>
      </c>
      <c r="O40" s="128">
        <f t="shared" si="24"/>
        <v>32888248</v>
      </c>
      <c r="P40" s="46">
        <f>O40/(F40+H40+I40+J40)*100</f>
        <v>92.316334321386876</v>
      </c>
      <c r="Q40" s="122">
        <f>(F40+H40+I40+J40)-O40</f>
        <v>2737352</v>
      </c>
      <c r="R40" s="47">
        <f t="shared" si="2"/>
        <v>7.6836656786131314</v>
      </c>
      <c r="S40" s="198">
        <f>E40-O40</f>
        <v>2737352</v>
      </c>
      <c r="T40" s="47">
        <f t="shared" si="3"/>
        <v>7.6836656786131314</v>
      </c>
      <c r="U40" s="66"/>
      <c r="V40" s="186"/>
      <c r="W40" s="155"/>
      <c r="X40" s="155"/>
      <c r="Y40" s="155"/>
      <c r="Z40" s="155"/>
      <c r="AA40" s="155"/>
      <c r="AB40" s="155"/>
    </row>
    <row r="41" spans="1:28" s="3" customFormat="1" ht="24.75" customHeight="1" x14ac:dyDescent="0.25">
      <c r="A41" s="34" t="s">
        <v>98</v>
      </c>
      <c r="B41" s="15" t="s">
        <v>85</v>
      </c>
      <c r="C41" s="18" t="s">
        <v>116</v>
      </c>
      <c r="D41" s="25">
        <v>267000000</v>
      </c>
      <c r="E41" s="25">
        <v>270000000</v>
      </c>
      <c r="F41" s="103">
        <v>66750000</v>
      </c>
      <c r="G41" s="25">
        <v>79500000</v>
      </c>
      <c r="H41" s="103">
        <v>66750000</v>
      </c>
      <c r="I41" s="103">
        <v>66750000</v>
      </c>
      <c r="J41" s="103">
        <v>69750000</v>
      </c>
      <c r="K41" s="95">
        <v>59150000</v>
      </c>
      <c r="L41" s="140">
        <v>46500000</v>
      </c>
      <c r="M41" s="150">
        <f>14650000+22250000+7600000</f>
        <v>44500000</v>
      </c>
      <c r="N41" s="174">
        <f>270000000-M41-L41-K41</f>
        <v>119850000</v>
      </c>
      <c r="O41" s="128">
        <f t="shared" si="24"/>
        <v>270000000</v>
      </c>
      <c r="P41" s="46">
        <f t="shared" si="5"/>
        <v>100</v>
      </c>
      <c r="Q41" s="122">
        <f>(F41+H41+I41+J41)-O41</f>
        <v>0</v>
      </c>
      <c r="R41" s="47">
        <f t="shared" si="2"/>
        <v>0</v>
      </c>
      <c r="S41" s="198">
        <f>E41-O41</f>
        <v>0</v>
      </c>
      <c r="T41" s="47">
        <f t="shared" si="3"/>
        <v>0</v>
      </c>
      <c r="U41" s="22"/>
      <c r="V41" s="182">
        <f>225500000-O41</f>
        <v>-44500000</v>
      </c>
      <c r="W41" s="155"/>
      <c r="X41" s="155"/>
      <c r="Y41" s="155"/>
      <c r="Z41" s="155"/>
      <c r="AA41" s="155"/>
      <c r="AB41" s="155"/>
    </row>
    <row r="42" spans="1:28" s="3" customFormat="1" ht="39" customHeight="1" x14ac:dyDescent="0.25">
      <c r="A42" s="34" t="s">
        <v>27</v>
      </c>
      <c r="B42" s="71" t="s">
        <v>124</v>
      </c>
      <c r="C42" s="18"/>
      <c r="D42" s="57">
        <f>SUM(D43:D46)</f>
        <v>86110000</v>
      </c>
      <c r="E42" s="57">
        <f>SUM(E43:E46)</f>
        <v>102860000</v>
      </c>
      <c r="F42" s="104">
        <f>SUM(F43:F46)</f>
        <v>14574000</v>
      </c>
      <c r="G42" s="104">
        <f t="shared" ref="G42:J42" si="25">SUM(G43:G46)</f>
        <v>26992000</v>
      </c>
      <c r="H42" s="104">
        <f t="shared" si="25"/>
        <v>45284000</v>
      </c>
      <c r="I42" s="104">
        <f>SUM(I43:I46)</f>
        <v>16536000</v>
      </c>
      <c r="J42" s="104">
        <f t="shared" si="25"/>
        <v>26466000</v>
      </c>
      <c r="K42" s="96">
        <f>SUM(K43:K46)</f>
        <v>1287000</v>
      </c>
      <c r="L42" s="141">
        <f>SUM(L43:L46)</f>
        <v>15230200</v>
      </c>
      <c r="M42" s="151">
        <f>SUM(M43:M46)</f>
        <v>20013547</v>
      </c>
      <c r="N42" s="175">
        <f>SUM(N43:N46)</f>
        <v>53569852</v>
      </c>
      <c r="O42" s="129">
        <f>SUM(O43:O46)</f>
        <v>90100599</v>
      </c>
      <c r="P42" s="46">
        <f t="shared" si="5"/>
        <v>87.595371378572821</v>
      </c>
      <c r="Q42" s="123">
        <f>SUM(Q43:Q46)</f>
        <v>12759401</v>
      </c>
      <c r="R42" s="47">
        <f t="shared" si="2"/>
        <v>12.404628621427182</v>
      </c>
      <c r="S42" s="200">
        <f>SUM(S43:S46)</f>
        <v>12759401</v>
      </c>
      <c r="T42" s="47">
        <f t="shared" si="3"/>
        <v>12.404628621427182</v>
      </c>
      <c r="U42" s="65"/>
      <c r="V42" s="155"/>
      <c r="W42" s="155"/>
      <c r="X42" s="155"/>
      <c r="Y42" s="155"/>
      <c r="Z42" s="155"/>
      <c r="AA42" s="155"/>
      <c r="AB42" s="155"/>
    </row>
    <row r="43" spans="1:28" s="3" customFormat="1" ht="47.25" customHeight="1" x14ac:dyDescent="0.25">
      <c r="A43" s="36" t="s">
        <v>37</v>
      </c>
      <c r="B43" s="21" t="s">
        <v>99</v>
      </c>
      <c r="C43" s="18" t="s">
        <v>116</v>
      </c>
      <c r="D43" s="27">
        <v>48580000</v>
      </c>
      <c r="E43" s="27">
        <v>48580000</v>
      </c>
      <c r="F43" s="107">
        <v>14574000</v>
      </c>
      <c r="G43" s="27">
        <v>14220000</v>
      </c>
      <c r="H43" s="107">
        <v>14574000</v>
      </c>
      <c r="I43" s="107">
        <v>9716000</v>
      </c>
      <c r="J43" s="107">
        <v>9716000</v>
      </c>
      <c r="K43" s="99">
        <v>1287000</v>
      </c>
      <c r="L43" s="144">
        <v>0</v>
      </c>
      <c r="M43" s="153">
        <f>7800000+2310047</f>
        <v>10110047</v>
      </c>
      <c r="N43" s="177">
        <f>37847149-M43-K43</f>
        <v>26450102</v>
      </c>
      <c r="O43" s="128">
        <f t="shared" ref="O43:O46" si="26">K43+L43+M43+N43</f>
        <v>37847149</v>
      </c>
      <c r="P43" s="46">
        <f t="shared" ref="P43:P71" si="27">O43/(F43+H43+I43+J43)*100</f>
        <v>77.906852614244542</v>
      </c>
      <c r="Q43" s="122">
        <f>(F43+H43+I43+J43)-O43</f>
        <v>10732851</v>
      </c>
      <c r="R43" s="47">
        <f t="shared" ref="R43:R71" si="28">Q43/(F43+H43+I43+J43)*100</f>
        <v>22.093147385755454</v>
      </c>
      <c r="S43" s="198">
        <f>E43-O43</f>
        <v>10732851</v>
      </c>
      <c r="T43" s="47">
        <f t="shared" ref="T43:T71" si="29">S43/E43*100</f>
        <v>22.093147385755454</v>
      </c>
      <c r="U43" s="65"/>
      <c r="V43" s="155"/>
      <c r="W43" s="155"/>
      <c r="X43" s="155"/>
      <c r="Y43" s="155"/>
      <c r="Z43" s="155"/>
      <c r="AA43" s="155"/>
      <c r="AB43" s="155"/>
    </row>
    <row r="44" spans="1:28" s="3" customFormat="1" ht="26.25" customHeight="1" x14ac:dyDescent="0.25">
      <c r="A44" s="81" t="s">
        <v>35</v>
      </c>
      <c r="B44" s="69" t="s">
        <v>79</v>
      </c>
      <c r="C44" s="18" t="s">
        <v>116</v>
      </c>
      <c r="D44" s="25">
        <v>10820000</v>
      </c>
      <c r="E44" s="25">
        <v>15740000</v>
      </c>
      <c r="F44" s="105">
        <v>0</v>
      </c>
      <c r="G44" s="19">
        <v>5772000</v>
      </c>
      <c r="H44" s="103">
        <v>6440000</v>
      </c>
      <c r="I44" s="103">
        <v>4380000</v>
      </c>
      <c r="J44" s="103">
        <v>4920000</v>
      </c>
      <c r="K44" s="95">
        <v>0</v>
      </c>
      <c r="L44" s="140">
        <v>2189200</v>
      </c>
      <c r="M44" s="150">
        <v>0</v>
      </c>
      <c r="N44" s="174">
        <f>13917450-L44</f>
        <v>11728250</v>
      </c>
      <c r="O44" s="128">
        <f t="shared" si="26"/>
        <v>13917450</v>
      </c>
      <c r="P44" s="46">
        <f t="shared" si="27"/>
        <v>88.420902160101662</v>
      </c>
      <c r="Q44" s="122">
        <f>(F44+H44+I44+J44)-O44</f>
        <v>1822550</v>
      </c>
      <c r="R44" s="47">
        <f t="shared" si="28"/>
        <v>11.579097839898349</v>
      </c>
      <c r="S44" s="198">
        <f>E44-O44</f>
        <v>1822550</v>
      </c>
      <c r="T44" s="47">
        <f t="shared" si="29"/>
        <v>11.579097839898349</v>
      </c>
      <c r="U44" s="22"/>
      <c r="V44" s="155"/>
      <c r="W44" s="155"/>
      <c r="X44" s="155"/>
      <c r="Y44" s="155"/>
      <c r="Z44" s="155"/>
      <c r="AA44" s="155"/>
      <c r="AB44" s="155"/>
    </row>
    <row r="45" spans="1:28" s="3" customFormat="1" ht="26.25" customHeight="1" x14ac:dyDescent="0.25">
      <c r="A45" s="81"/>
      <c r="B45" s="15" t="s">
        <v>80</v>
      </c>
      <c r="C45" s="18" t="s">
        <v>116</v>
      </c>
      <c r="D45" s="25">
        <v>20000000</v>
      </c>
      <c r="E45" s="25">
        <v>30000000</v>
      </c>
      <c r="F45" s="103">
        <v>0</v>
      </c>
      <c r="G45" s="25"/>
      <c r="H45" s="103">
        <v>20000000</v>
      </c>
      <c r="I45" s="103">
        <v>0</v>
      </c>
      <c r="J45" s="103">
        <v>10000000</v>
      </c>
      <c r="K45" s="95">
        <v>0</v>
      </c>
      <c r="L45" s="140">
        <v>9935000</v>
      </c>
      <c r="M45" s="150">
        <f>19838500-L45</f>
        <v>9903500</v>
      </c>
      <c r="N45" s="174">
        <f>29815500-M45-L45</f>
        <v>9977000</v>
      </c>
      <c r="O45" s="128">
        <f t="shared" si="26"/>
        <v>29815500</v>
      </c>
      <c r="P45" s="46">
        <f t="shared" si="27"/>
        <v>99.385000000000005</v>
      </c>
      <c r="Q45" s="122">
        <f>(F45+H45+I45+J45)-O45</f>
        <v>184500</v>
      </c>
      <c r="R45" s="47">
        <f t="shared" si="28"/>
        <v>0.61499999999999999</v>
      </c>
      <c r="S45" s="198">
        <f>E45-O45</f>
        <v>184500</v>
      </c>
      <c r="T45" s="47">
        <f t="shared" si="29"/>
        <v>0.61499999999999999</v>
      </c>
      <c r="U45" s="22"/>
      <c r="V45" s="155"/>
      <c r="W45" s="155"/>
      <c r="X45" s="155"/>
      <c r="Y45" s="155"/>
      <c r="Z45" s="155"/>
      <c r="AA45" s="155"/>
      <c r="AB45" s="155"/>
    </row>
    <row r="46" spans="1:28" s="3" customFormat="1" ht="37.5" customHeight="1" x14ac:dyDescent="0.25">
      <c r="A46" s="34" t="s">
        <v>40</v>
      </c>
      <c r="B46" s="15" t="s">
        <v>109</v>
      </c>
      <c r="C46" s="18" t="s">
        <v>116</v>
      </c>
      <c r="D46" s="25">
        <v>6710000</v>
      </c>
      <c r="E46" s="25">
        <v>8540000</v>
      </c>
      <c r="F46" s="103">
        <v>0</v>
      </c>
      <c r="G46" s="25">
        <v>7000000</v>
      </c>
      <c r="H46" s="103">
        <v>4270000</v>
      </c>
      <c r="I46" s="103">
        <v>2440000</v>
      </c>
      <c r="J46" s="103">
        <v>1830000</v>
      </c>
      <c r="K46" s="95">
        <v>0</v>
      </c>
      <c r="L46" s="140">
        <v>3106000</v>
      </c>
      <c r="M46" s="150">
        <v>0</v>
      </c>
      <c r="N46" s="174">
        <f>8520500-L46</f>
        <v>5414500</v>
      </c>
      <c r="O46" s="128">
        <f t="shared" si="26"/>
        <v>8520500</v>
      </c>
      <c r="P46" s="46">
        <f t="shared" si="27"/>
        <v>99.77166276346604</v>
      </c>
      <c r="Q46" s="122">
        <f>(F46+H46+I46+J46)-O46</f>
        <v>19500</v>
      </c>
      <c r="R46" s="47">
        <f t="shared" si="28"/>
        <v>0.22833723653395785</v>
      </c>
      <c r="S46" s="198">
        <f>E46-O46</f>
        <v>19500</v>
      </c>
      <c r="T46" s="47">
        <f t="shared" si="29"/>
        <v>0.22833723653395785</v>
      </c>
      <c r="U46" s="65"/>
      <c r="V46" s="155"/>
      <c r="W46" s="155"/>
      <c r="X46" s="155"/>
      <c r="Y46" s="155"/>
      <c r="Z46" s="155"/>
      <c r="AA46" s="155"/>
      <c r="AB46" s="155"/>
    </row>
    <row r="47" spans="1:28" s="3" customFormat="1" ht="39.75" customHeight="1" x14ac:dyDescent="0.25">
      <c r="A47" s="36" t="s">
        <v>26</v>
      </c>
      <c r="B47" s="78" t="s">
        <v>60</v>
      </c>
      <c r="C47" s="18"/>
      <c r="D47" s="51">
        <f>D48</f>
        <v>6772000</v>
      </c>
      <c r="E47" s="51">
        <f>E48</f>
        <v>6772000</v>
      </c>
      <c r="F47" s="106">
        <f>F48</f>
        <v>3442000</v>
      </c>
      <c r="G47" s="106">
        <f t="shared" ref="G47:J47" si="30">G48</f>
        <v>1061300</v>
      </c>
      <c r="H47" s="106">
        <f t="shared" si="30"/>
        <v>1110000</v>
      </c>
      <c r="I47" s="106">
        <f t="shared" si="30"/>
        <v>1110000</v>
      </c>
      <c r="J47" s="106">
        <f t="shared" si="30"/>
        <v>1110000</v>
      </c>
      <c r="K47" s="97">
        <f t="shared" ref="K47" si="31">K48</f>
        <v>0</v>
      </c>
      <c r="L47" s="143">
        <f t="shared" ref="L47:N47" si="32">L48</f>
        <v>985000</v>
      </c>
      <c r="M47" s="152">
        <f t="shared" si="32"/>
        <v>0</v>
      </c>
      <c r="N47" s="176">
        <f t="shared" si="32"/>
        <v>5531500</v>
      </c>
      <c r="O47" s="130">
        <f>O48</f>
        <v>6516500</v>
      </c>
      <c r="P47" s="46">
        <f t="shared" si="27"/>
        <v>96.227111636148848</v>
      </c>
      <c r="Q47" s="123">
        <f>SUM(Q48)</f>
        <v>255500</v>
      </c>
      <c r="R47" s="47">
        <f t="shared" si="28"/>
        <v>3.7728883638511519</v>
      </c>
      <c r="S47" s="202">
        <f>D47-O47</f>
        <v>255500</v>
      </c>
      <c r="T47" s="47">
        <f t="shared" si="29"/>
        <v>3.7728883638511519</v>
      </c>
      <c r="U47" s="65"/>
      <c r="V47" s="155"/>
      <c r="W47" s="155"/>
      <c r="X47" s="155"/>
      <c r="Y47" s="155"/>
      <c r="Z47" s="155"/>
      <c r="AA47" s="155"/>
      <c r="AB47" s="155"/>
    </row>
    <row r="48" spans="1:28" s="3" customFormat="1" ht="42" customHeight="1" x14ac:dyDescent="0.25">
      <c r="A48" s="31"/>
      <c r="B48" s="56" t="s">
        <v>61</v>
      </c>
      <c r="C48" s="56"/>
      <c r="D48" s="57">
        <f>SUM(D49)</f>
        <v>6772000</v>
      </c>
      <c r="E48" s="57">
        <f>SUM(E49)</f>
        <v>6772000</v>
      </c>
      <c r="F48" s="108">
        <f>F49</f>
        <v>3442000</v>
      </c>
      <c r="G48" s="108">
        <f t="shared" ref="G48:J48" si="33">G49</f>
        <v>1061300</v>
      </c>
      <c r="H48" s="108">
        <f t="shared" si="33"/>
        <v>1110000</v>
      </c>
      <c r="I48" s="108">
        <f t="shared" si="33"/>
        <v>1110000</v>
      </c>
      <c r="J48" s="108">
        <f t="shared" si="33"/>
        <v>1110000</v>
      </c>
      <c r="K48" s="126">
        <f t="shared" ref="K48" si="34">K49</f>
        <v>0</v>
      </c>
      <c r="L48" s="145">
        <f t="shared" ref="L48:N48" si="35">L49</f>
        <v>985000</v>
      </c>
      <c r="M48" s="154">
        <f t="shared" si="35"/>
        <v>0</v>
      </c>
      <c r="N48" s="178">
        <f t="shared" si="35"/>
        <v>5531500</v>
      </c>
      <c r="O48" s="131">
        <f>O49</f>
        <v>6516500</v>
      </c>
      <c r="P48" s="46">
        <f t="shared" si="27"/>
        <v>96.227111636148848</v>
      </c>
      <c r="Q48" s="123">
        <f>SUM(Q49)</f>
        <v>255500</v>
      </c>
      <c r="R48" s="47">
        <f t="shared" si="28"/>
        <v>3.7728883638511519</v>
      </c>
      <c r="S48" s="202">
        <f>SUM(S49)</f>
        <v>255500</v>
      </c>
      <c r="T48" s="47">
        <f t="shared" si="29"/>
        <v>3.7728883638511519</v>
      </c>
      <c r="U48" s="22"/>
      <c r="V48" s="155"/>
      <c r="W48" s="155"/>
      <c r="X48" s="155"/>
      <c r="Y48" s="155"/>
      <c r="Z48" s="155"/>
      <c r="AA48" s="155"/>
      <c r="AB48" s="155"/>
    </row>
    <row r="49" spans="1:28" s="3" customFormat="1" ht="36.75" customHeight="1" x14ac:dyDescent="0.25">
      <c r="A49" s="72"/>
      <c r="B49" s="74" t="s">
        <v>108</v>
      </c>
      <c r="C49" s="18" t="s">
        <v>129</v>
      </c>
      <c r="D49" s="27">
        <v>6772000</v>
      </c>
      <c r="E49" s="27">
        <v>6772000</v>
      </c>
      <c r="F49" s="107">
        <v>3442000</v>
      </c>
      <c r="G49" s="27">
        <v>1061300</v>
      </c>
      <c r="H49" s="107">
        <v>1110000</v>
      </c>
      <c r="I49" s="107">
        <v>1110000</v>
      </c>
      <c r="J49" s="107">
        <v>1110000</v>
      </c>
      <c r="K49" s="99">
        <v>0</v>
      </c>
      <c r="L49" s="144">
        <v>985000</v>
      </c>
      <c r="M49" s="153">
        <v>0</v>
      </c>
      <c r="N49" s="177">
        <f>6516500-L49</f>
        <v>5531500</v>
      </c>
      <c r="O49" s="128">
        <f>K49+L49+M49+N49</f>
        <v>6516500</v>
      </c>
      <c r="P49" s="46">
        <f t="shared" si="27"/>
        <v>96.227111636148848</v>
      </c>
      <c r="Q49" s="122">
        <f>(F49+H49+I49+J49)-O49</f>
        <v>255500</v>
      </c>
      <c r="R49" s="47">
        <f t="shared" si="28"/>
        <v>3.7728883638511519</v>
      </c>
      <c r="S49" s="198">
        <f>E49-O49</f>
        <v>255500</v>
      </c>
      <c r="T49" s="47">
        <f t="shared" si="29"/>
        <v>3.7728883638511519</v>
      </c>
      <c r="U49" s="39"/>
      <c r="V49" s="155"/>
      <c r="W49" s="155"/>
      <c r="X49" s="155"/>
      <c r="Y49" s="155"/>
      <c r="Z49" s="155"/>
      <c r="AA49" s="155"/>
      <c r="AB49" s="155"/>
    </row>
    <row r="50" spans="1:28" s="3" customFormat="1" ht="36" customHeight="1" x14ac:dyDescent="0.25">
      <c r="A50" s="72"/>
      <c r="B50" s="77" t="s">
        <v>62</v>
      </c>
      <c r="C50" s="73"/>
      <c r="D50" s="51">
        <f>D51+D54</f>
        <v>329816992</v>
      </c>
      <c r="E50" s="51">
        <f>E51+E54</f>
        <v>329796992</v>
      </c>
      <c r="F50" s="106">
        <f>F51+F54</f>
        <v>62720492</v>
      </c>
      <c r="G50" s="106">
        <f t="shared" ref="G50:I50" si="36">G51+G54</f>
        <v>56660334</v>
      </c>
      <c r="H50" s="106">
        <f t="shared" si="36"/>
        <v>231039500</v>
      </c>
      <c r="I50" s="106">
        <f t="shared" si="36"/>
        <v>19917000</v>
      </c>
      <c r="J50" s="106">
        <f t="shared" ref="J50" si="37">J51+J54</f>
        <v>17020000</v>
      </c>
      <c r="K50" s="97">
        <f>K51+K54</f>
        <v>21789000</v>
      </c>
      <c r="L50" s="143">
        <f>L51+L54</f>
        <v>80496200</v>
      </c>
      <c r="M50" s="152">
        <f>M51+M54</f>
        <v>71640080</v>
      </c>
      <c r="N50" s="176">
        <f>N51+N54</f>
        <v>151053500</v>
      </c>
      <c r="O50" s="130">
        <f>O51+O54</f>
        <v>324978780</v>
      </c>
      <c r="P50" s="46">
        <f t="shared" si="27"/>
        <v>98.270860594946086</v>
      </c>
      <c r="Q50" s="124">
        <f>Q51+Q54</f>
        <v>5718212</v>
      </c>
      <c r="R50" s="47">
        <f t="shared" si="28"/>
        <v>1.7291394050539171</v>
      </c>
      <c r="S50" s="202">
        <f>D50-O50</f>
        <v>4838212</v>
      </c>
      <c r="T50" s="47">
        <f t="shared" si="29"/>
        <v>1.467027328132817</v>
      </c>
      <c r="U50" s="39"/>
      <c r="V50" s="155"/>
      <c r="W50" s="155"/>
      <c r="X50" s="155"/>
      <c r="Y50" s="155"/>
      <c r="Z50" s="155"/>
      <c r="AA50" s="155"/>
      <c r="AB50" s="155"/>
    </row>
    <row r="51" spans="1:28" s="3" customFormat="1" ht="26.25" customHeight="1" x14ac:dyDescent="0.25">
      <c r="A51" s="72"/>
      <c r="B51" s="73" t="s">
        <v>63</v>
      </c>
      <c r="C51" s="73"/>
      <c r="D51" s="51">
        <f>SUM(D52:D53)</f>
        <v>129816992</v>
      </c>
      <c r="E51" s="51">
        <f>SUM(E52:E53)</f>
        <v>129796992</v>
      </c>
      <c r="F51" s="106">
        <f t="shared" ref="F51:I51" si="38">SUM(F52:F53)</f>
        <v>62720492</v>
      </c>
      <c r="G51" s="106">
        <f t="shared" si="38"/>
        <v>44900334</v>
      </c>
      <c r="H51" s="106">
        <f t="shared" si="38"/>
        <v>31039500</v>
      </c>
      <c r="I51" s="106">
        <f t="shared" si="38"/>
        <v>19917000</v>
      </c>
      <c r="J51" s="106">
        <f t="shared" ref="J51" si="39">SUM(J52:J53)</f>
        <v>17020000</v>
      </c>
      <c r="K51" s="97">
        <f>SUM(K52:K53)</f>
        <v>21789000</v>
      </c>
      <c r="L51" s="143">
        <f>SUM(L52:L53)</f>
        <v>17496200</v>
      </c>
      <c r="M51" s="152">
        <f>SUM(M52:M53)</f>
        <v>19000080</v>
      </c>
      <c r="N51" s="176">
        <f>SUM(N52:N53)</f>
        <v>69693500</v>
      </c>
      <c r="O51" s="130">
        <f>SUM(O52:O53)</f>
        <v>127978780</v>
      </c>
      <c r="P51" s="46">
        <f t="shared" si="27"/>
        <v>97.920218393396539</v>
      </c>
      <c r="Q51" s="124">
        <f>SUM(Q52:Q53)</f>
        <v>2718212</v>
      </c>
      <c r="R51" s="47">
        <f t="shared" si="28"/>
        <v>2.0797816066034631</v>
      </c>
      <c r="S51" s="202">
        <f>SUM(S52:S53)</f>
        <v>1818212</v>
      </c>
      <c r="T51" s="47">
        <f t="shared" si="29"/>
        <v>1.4008121235968241</v>
      </c>
      <c r="U51" s="39"/>
      <c r="V51" s="155"/>
      <c r="W51" s="155"/>
      <c r="X51" s="155"/>
      <c r="Y51" s="155"/>
      <c r="Z51" s="155"/>
      <c r="AA51" s="155"/>
      <c r="AB51" s="155"/>
    </row>
    <row r="52" spans="1:28" s="3" customFormat="1" ht="48.75" customHeight="1" x14ac:dyDescent="0.25">
      <c r="A52" s="72"/>
      <c r="B52" s="74" t="s">
        <v>81</v>
      </c>
      <c r="C52" s="75" t="s">
        <v>88</v>
      </c>
      <c r="D52" s="27">
        <v>21525000</v>
      </c>
      <c r="E52" s="27">
        <v>21525000</v>
      </c>
      <c r="F52" s="107">
        <v>21525000</v>
      </c>
      <c r="G52" s="27">
        <v>596000</v>
      </c>
      <c r="H52" s="107">
        <v>0</v>
      </c>
      <c r="I52" s="107">
        <v>0</v>
      </c>
      <c r="J52" s="107">
        <v>0</v>
      </c>
      <c r="K52" s="99">
        <f>4455000+15384000+450000</f>
        <v>20289000</v>
      </c>
      <c r="L52" s="144">
        <v>0</v>
      </c>
      <c r="M52" s="153">
        <v>0</v>
      </c>
      <c r="N52" s="177">
        <f>20709000-K52</f>
        <v>420000</v>
      </c>
      <c r="O52" s="128">
        <f t="shared" ref="O52:O53" si="40">K52+L52+M52+N52</f>
        <v>20709000</v>
      </c>
      <c r="P52" s="46">
        <f t="shared" si="27"/>
        <v>96.20905923344948</v>
      </c>
      <c r="Q52" s="122">
        <f>(F52+H52+I52+J52)-O52</f>
        <v>816000</v>
      </c>
      <c r="R52" s="47">
        <f t="shared" si="28"/>
        <v>3.7909407665505226</v>
      </c>
      <c r="S52" s="198">
        <f>E52-O52</f>
        <v>816000</v>
      </c>
      <c r="T52" s="47">
        <f t="shared" si="29"/>
        <v>3.7909407665505226</v>
      </c>
      <c r="U52" s="39"/>
      <c r="V52" s="155"/>
      <c r="W52" s="155"/>
      <c r="X52" s="155"/>
      <c r="Y52" s="155"/>
      <c r="Z52" s="155"/>
      <c r="AA52" s="155"/>
      <c r="AB52" s="155"/>
    </row>
    <row r="53" spans="1:28" s="3" customFormat="1" ht="36.75" customHeight="1" x14ac:dyDescent="0.25">
      <c r="A53" s="72"/>
      <c r="B53" s="74" t="s">
        <v>82</v>
      </c>
      <c r="C53" s="75" t="s">
        <v>88</v>
      </c>
      <c r="D53" s="27">
        <v>108291992</v>
      </c>
      <c r="E53" s="27">
        <v>108271992</v>
      </c>
      <c r="F53" s="107">
        <v>41195492</v>
      </c>
      <c r="G53" s="27">
        <v>44304334</v>
      </c>
      <c r="H53" s="107">
        <v>31039500</v>
      </c>
      <c r="I53" s="107">
        <v>19917000</v>
      </c>
      <c r="J53" s="107">
        <v>17020000</v>
      </c>
      <c r="K53" s="99">
        <v>1500000</v>
      </c>
      <c r="L53" s="144">
        <f>18996200-K53</f>
        <v>17496200</v>
      </c>
      <c r="M53" s="153">
        <f>900000+5200000+500000+400000+9660080+900000+1440000</f>
        <v>19000080</v>
      </c>
      <c r="N53" s="177">
        <f>107269780-K53-L53-M53</f>
        <v>69273500</v>
      </c>
      <c r="O53" s="128">
        <f t="shared" si="40"/>
        <v>107269780</v>
      </c>
      <c r="P53" s="46">
        <f t="shared" si="27"/>
        <v>98.257600722353772</v>
      </c>
      <c r="Q53" s="122">
        <f>(F53+H53+I53+J53)-O53</f>
        <v>1902212</v>
      </c>
      <c r="R53" s="47">
        <f t="shared" si="28"/>
        <v>1.74239927764623</v>
      </c>
      <c r="S53" s="198">
        <f>E53-O53</f>
        <v>1002212</v>
      </c>
      <c r="T53" s="47">
        <f t="shared" si="29"/>
        <v>0.9256428938704665</v>
      </c>
      <c r="U53" s="39"/>
      <c r="V53" s="155"/>
      <c r="W53" s="155"/>
      <c r="X53" s="155"/>
      <c r="Y53" s="155"/>
      <c r="Z53" s="155"/>
      <c r="AA53" s="155"/>
      <c r="AB53" s="155"/>
    </row>
    <row r="54" spans="1:28" s="3" customFormat="1" ht="21.75" customHeight="1" x14ac:dyDescent="0.25">
      <c r="A54" s="72"/>
      <c r="B54" s="73" t="s">
        <v>64</v>
      </c>
      <c r="C54" s="73"/>
      <c r="D54" s="51">
        <f>SUM(D55:D56)</f>
        <v>200000000</v>
      </c>
      <c r="E54" s="51">
        <f>SUM(E55:E56)</f>
        <v>200000000</v>
      </c>
      <c r="F54" s="106">
        <f t="shared" ref="F54:J54" si="41">SUM(F55:F56)</f>
        <v>0</v>
      </c>
      <c r="G54" s="51">
        <f t="shared" si="41"/>
        <v>11760000</v>
      </c>
      <c r="H54" s="106">
        <f t="shared" si="41"/>
        <v>200000000</v>
      </c>
      <c r="I54" s="106">
        <f t="shared" si="41"/>
        <v>0</v>
      </c>
      <c r="J54" s="106">
        <f t="shared" si="41"/>
        <v>0</v>
      </c>
      <c r="K54" s="97">
        <f t="shared" ref="K54" si="42">SUM(K55:K56)</f>
        <v>0</v>
      </c>
      <c r="L54" s="143">
        <f t="shared" ref="L54:N54" si="43">SUM(L55:L56)</f>
        <v>63000000</v>
      </c>
      <c r="M54" s="152">
        <f t="shared" si="43"/>
        <v>52640000</v>
      </c>
      <c r="N54" s="176">
        <f t="shared" si="43"/>
        <v>81360000</v>
      </c>
      <c r="O54" s="130">
        <f t="shared" ref="O54" si="44">SUM(O55:O56)</f>
        <v>197000000</v>
      </c>
      <c r="P54" s="46">
        <f t="shared" si="27"/>
        <v>98.5</v>
      </c>
      <c r="Q54" s="124">
        <f>SUM(Q55:Q56)</f>
        <v>3000000</v>
      </c>
      <c r="R54" s="47">
        <f t="shared" si="28"/>
        <v>1.5</v>
      </c>
      <c r="S54" s="202">
        <f>SUM(S55:S56)</f>
        <v>3000000</v>
      </c>
      <c r="T54" s="47">
        <f t="shared" si="29"/>
        <v>1.5</v>
      </c>
      <c r="U54" s="39"/>
      <c r="V54" s="155"/>
      <c r="W54" s="155"/>
      <c r="X54" s="155"/>
      <c r="Y54" s="155"/>
      <c r="Z54" s="155"/>
      <c r="AA54" s="155"/>
      <c r="AB54" s="155"/>
    </row>
    <row r="55" spans="1:28" s="3" customFormat="1" ht="21.75" customHeight="1" x14ac:dyDescent="0.25">
      <c r="A55" s="72"/>
      <c r="B55" s="74" t="s">
        <v>114</v>
      </c>
      <c r="C55" s="75" t="s">
        <v>89</v>
      </c>
      <c r="D55" s="27">
        <v>66000000</v>
      </c>
      <c r="E55" s="27">
        <v>66000000</v>
      </c>
      <c r="F55" s="107">
        <v>0</v>
      </c>
      <c r="G55" s="27"/>
      <c r="H55" s="107">
        <v>66000000</v>
      </c>
      <c r="I55" s="107">
        <v>0</v>
      </c>
      <c r="J55" s="107">
        <v>0</v>
      </c>
      <c r="K55" s="111"/>
      <c r="L55" s="144">
        <v>63000000</v>
      </c>
      <c r="M55" s="153">
        <v>0</v>
      </c>
      <c r="N55" s="177">
        <v>0</v>
      </c>
      <c r="O55" s="128">
        <f t="shared" ref="O55:O56" si="45">K55+L55+M55+N55</f>
        <v>63000000</v>
      </c>
      <c r="P55" s="46">
        <f t="shared" si="27"/>
        <v>95.454545454545453</v>
      </c>
      <c r="Q55" s="122">
        <f>(F55+H55+I55+J55)-O55</f>
        <v>3000000</v>
      </c>
      <c r="R55" s="47">
        <f t="shared" si="28"/>
        <v>4.5454545454545459</v>
      </c>
      <c r="S55" s="198">
        <f>E55-O55</f>
        <v>3000000</v>
      </c>
      <c r="T55" s="47">
        <f t="shared" si="29"/>
        <v>4.5454545454545459</v>
      </c>
      <c r="U55" s="39"/>
      <c r="V55" s="155"/>
      <c r="W55" s="155"/>
      <c r="X55" s="155"/>
      <c r="Y55" s="155"/>
      <c r="Z55" s="155"/>
      <c r="AA55" s="155"/>
      <c r="AB55" s="155"/>
    </row>
    <row r="56" spans="1:28" s="3" customFormat="1" ht="25.5" customHeight="1" x14ac:dyDescent="0.25">
      <c r="A56" s="82" t="s">
        <v>37</v>
      </c>
      <c r="B56" s="74" t="s">
        <v>83</v>
      </c>
      <c r="C56" s="75" t="s">
        <v>89</v>
      </c>
      <c r="D56" s="27">
        <v>134000000</v>
      </c>
      <c r="E56" s="27">
        <v>134000000</v>
      </c>
      <c r="F56" s="107">
        <v>0</v>
      </c>
      <c r="G56" s="27">
        <v>11760000</v>
      </c>
      <c r="H56" s="107">
        <v>134000000</v>
      </c>
      <c r="I56" s="107">
        <v>0</v>
      </c>
      <c r="J56" s="107">
        <v>0</v>
      </c>
      <c r="K56" s="99">
        <v>0</v>
      </c>
      <c r="L56" s="144">
        <v>0</v>
      </c>
      <c r="M56" s="153">
        <f>45120000+7520000</f>
        <v>52640000</v>
      </c>
      <c r="N56" s="177">
        <f>134000000-M56</f>
        <v>81360000</v>
      </c>
      <c r="O56" s="128">
        <f t="shared" si="45"/>
        <v>134000000</v>
      </c>
      <c r="P56" s="46">
        <f t="shared" si="27"/>
        <v>100</v>
      </c>
      <c r="Q56" s="122">
        <f>(F56+H56+I56+J56)-O56</f>
        <v>0</v>
      </c>
      <c r="R56" s="47">
        <f t="shared" si="28"/>
        <v>0</v>
      </c>
      <c r="S56" s="198">
        <f>E56-O56</f>
        <v>0</v>
      </c>
      <c r="T56" s="47">
        <f t="shared" si="29"/>
        <v>0</v>
      </c>
      <c r="U56" s="39"/>
      <c r="V56" s="155"/>
      <c r="W56" s="155"/>
      <c r="X56" s="155"/>
      <c r="Y56" s="155"/>
      <c r="Z56" s="155"/>
      <c r="AA56" s="155"/>
      <c r="AB56" s="155"/>
    </row>
    <row r="57" spans="1:28" s="3" customFormat="1" ht="25.5" customHeight="1" x14ac:dyDescent="0.25">
      <c r="A57" s="82"/>
      <c r="B57" s="77" t="s">
        <v>100</v>
      </c>
      <c r="C57" s="83"/>
      <c r="D57" s="51">
        <f>D58+D61</f>
        <v>15253725</v>
      </c>
      <c r="E57" s="51">
        <f>E58+E61</f>
        <v>19153400</v>
      </c>
      <c r="F57" s="106">
        <f t="shared" ref="F57:I57" si="46">F58+F61</f>
        <v>8255350</v>
      </c>
      <c r="G57" s="106">
        <f t="shared" si="46"/>
        <v>2526843</v>
      </c>
      <c r="H57" s="106">
        <f t="shared" si="46"/>
        <v>0</v>
      </c>
      <c r="I57" s="106">
        <f t="shared" si="46"/>
        <v>6838600</v>
      </c>
      <c r="J57" s="106">
        <f t="shared" ref="J57" si="47">J58+J61</f>
        <v>4059450</v>
      </c>
      <c r="K57" s="97">
        <f>K58+K61</f>
        <v>2048050</v>
      </c>
      <c r="L57" s="143">
        <f>L58+L61</f>
        <v>1311900</v>
      </c>
      <c r="M57" s="152">
        <f>M58+M61</f>
        <v>300000</v>
      </c>
      <c r="N57" s="176">
        <f>N58+N61</f>
        <v>13286500</v>
      </c>
      <c r="O57" s="130">
        <f>O58+O61</f>
        <v>16946450</v>
      </c>
      <c r="P57" s="46">
        <f t="shared" si="27"/>
        <v>88.477502688817651</v>
      </c>
      <c r="Q57" s="124">
        <f>Q58+Q61</f>
        <v>2206950</v>
      </c>
      <c r="R57" s="47">
        <f t="shared" si="28"/>
        <v>11.522497311182349</v>
      </c>
      <c r="S57" s="201">
        <f>S58+S61</f>
        <v>2206950</v>
      </c>
      <c r="T57" s="47">
        <f t="shared" si="29"/>
        <v>11.522497311182349</v>
      </c>
      <c r="U57" s="39"/>
      <c r="V57" s="155"/>
      <c r="W57" s="155"/>
      <c r="X57" s="155"/>
      <c r="Y57" s="155"/>
      <c r="Z57" s="155"/>
      <c r="AA57" s="155"/>
      <c r="AB57" s="155"/>
    </row>
    <row r="58" spans="1:28" s="3" customFormat="1" ht="25.5" customHeight="1" x14ac:dyDescent="0.25">
      <c r="A58" s="82"/>
      <c r="B58" s="77" t="s">
        <v>104</v>
      </c>
      <c r="C58" s="83"/>
      <c r="D58" s="51">
        <f>SUM(D59:D60)</f>
        <v>11880775</v>
      </c>
      <c r="E58" s="51">
        <f>SUM(E59:E60)</f>
        <v>14640450</v>
      </c>
      <c r="F58" s="106">
        <f>SUM(F59:F60)</f>
        <v>6412400</v>
      </c>
      <c r="G58" s="106">
        <f t="shared" ref="G58:I58" si="48">SUM(G59:G60)</f>
        <v>1621445</v>
      </c>
      <c r="H58" s="106">
        <f t="shared" si="48"/>
        <v>0</v>
      </c>
      <c r="I58" s="106">
        <f t="shared" si="48"/>
        <v>5308600</v>
      </c>
      <c r="J58" s="106">
        <f t="shared" ref="J58" si="49">SUM(J59:J60)</f>
        <v>2919450</v>
      </c>
      <c r="K58" s="97">
        <f>SUM(K59:K60)</f>
        <v>1885100</v>
      </c>
      <c r="L58" s="143">
        <f>SUM(L59:L60)</f>
        <v>501900</v>
      </c>
      <c r="M58" s="152">
        <f>SUM(M59:M60)</f>
        <v>300000</v>
      </c>
      <c r="N58" s="176">
        <f>SUM(N59:N60)</f>
        <v>10156500</v>
      </c>
      <c r="O58" s="130">
        <f>SUM(O59:O60)</f>
        <v>12843500</v>
      </c>
      <c r="P58" s="46">
        <f t="shared" si="27"/>
        <v>87.726128636756386</v>
      </c>
      <c r="Q58" s="124">
        <f>SUM(Q59:Q60)</f>
        <v>1796950</v>
      </c>
      <c r="R58" s="47">
        <f t="shared" si="28"/>
        <v>12.273871363243616</v>
      </c>
      <c r="S58" s="202">
        <f>SUM(S59:S60)</f>
        <v>1796950</v>
      </c>
      <c r="T58" s="47">
        <f t="shared" si="29"/>
        <v>12.273871363243616</v>
      </c>
      <c r="U58" s="39"/>
      <c r="V58" s="155"/>
      <c r="W58" s="155"/>
      <c r="X58" s="155"/>
      <c r="Y58" s="155"/>
      <c r="Z58" s="155"/>
      <c r="AA58" s="155"/>
      <c r="AB58" s="155"/>
    </row>
    <row r="59" spans="1:28" s="3" customFormat="1" ht="51.75" customHeight="1" x14ac:dyDescent="0.25">
      <c r="A59" s="82" t="s">
        <v>26</v>
      </c>
      <c r="B59" s="74" t="s">
        <v>101</v>
      </c>
      <c r="C59" s="83" t="s">
        <v>90</v>
      </c>
      <c r="D59" s="27">
        <v>6860900</v>
      </c>
      <c r="E59" s="27">
        <v>9620900</v>
      </c>
      <c r="F59" s="107">
        <v>3605800</v>
      </c>
      <c r="G59" s="27">
        <v>1116447</v>
      </c>
      <c r="H59" s="107">
        <v>0</v>
      </c>
      <c r="I59" s="107">
        <v>3255100</v>
      </c>
      <c r="J59" s="107">
        <v>2760000</v>
      </c>
      <c r="K59" s="99">
        <v>1320000</v>
      </c>
      <c r="L59" s="144">
        <f>1680000-K59</f>
        <v>360000</v>
      </c>
      <c r="M59" s="153">
        <v>300000</v>
      </c>
      <c r="N59" s="177">
        <f>9361400-M59-L59-K59</f>
        <v>7381400</v>
      </c>
      <c r="O59" s="128">
        <f t="shared" ref="O59:O60" si="50">K59+L59+M59+N59</f>
        <v>9361400</v>
      </c>
      <c r="P59" s="46">
        <f t="shared" si="27"/>
        <v>97.302747144238069</v>
      </c>
      <c r="Q59" s="122">
        <f>(F59+H59+I59+J59)-O59</f>
        <v>259500</v>
      </c>
      <c r="R59" s="47">
        <f t="shared" si="28"/>
        <v>2.6972528557619349</v>
      </c>
      <c r="S59" s="198">
        <f>E59-O59</f>
        <v>259500</v>
      </c>
      <c r="T59" s="47">
        <f t="shared" si="29"/>
        <v>2.6972528557619349</v>
      </c>
      <c r="U59" s="39"/>
      <c r="V59" s="155"/>
      <c r="W59" s="155"/>
      <c r="X59" s="155"/>
      <c r="Y59" s="155"/>
      <c r="Z59" s="155"/>
      <c r="AA59" s="155"/>
      <c r="AB59" s="155"/>
    </row>
    <row r="60" spans="1:28" s="3" customFormat="1" ht="27.75" customHeight="1" x14ac:dyDescent="0.25">
      <c r="A60" s="82" t="s">
        <v>27</v>
      </c>
      <c r="B60" s="74" t="s">
        <v>102</v>
      </c>
      <c r="C60" s="83" t="s">
        <v>90</v>
      </c>
      <c r="D60" s="27">
        <v>5019875</v>
      </c>
      <c r="E60" s="27">
        <v>5019550</v>
      </c>
      <c r="F60" s="107">
        <v>2806600</v>
      </c>
      <c r="G60" s="27">
        <v>504998</v>
      </c>
      <c r="H60" s="107">
        <v>0</v>
      </c>
      <c r="I60" s="107">
        <v>2053500</v>
      </c>
      <c r="J60" s="107">
        <v>159450</v>
      </c>
      <c r="K60" s="99">
        <f>65100+500000</f>
        <v>565100</v>
      </c>
      <c r="L60" s="144">
        <f>707000-K60</f>
        <v>141900</v>
      </c>
      <c r="M60" s="153"/>
      <c r="N60" s="177">
        <f>3482100-L60-K60</f>
        <v>2775100</v>
      </c>
      <c r="O60" s="128">
        <f t="shared" si="50"/>
        <v>3482100</v>
      </c>
      <c r="P60" s="46">
        <f t="shared" si="27"/>
        <v>69.370760327120962</v>
      </c>
      <c r="Q60" s="122">
        <f>(F60+H60+I60+J60)-O60</f>
        <v>1537450</v>
      </c>
      <c r="R60" s="47">
        <f t="shared" si="28"/>
        <v>30.629239672879045</v>
      </c>
      <c r="S60" s="198">
        <f>E60-O60</f>
        <v>1537450</v>
      </c>
      <c r="T60" s="47">
        <f t="shared" si="29"/>
        <v>30.629239672879045</v>
      </c>
      <c r="U60" s="39"/>
      <c r="V60" s="155"/>
      <c r="W60" s="155"/>
      <c r="X60" s="155"/>
      <c r="Y60" s="155"/>
      <c r="Z60" s="155"/>
      <c r="AA60" s="155"/>
      <c r="AB60" s="155"/>
    </row>
    <row r="61" spans="1:28" s="3" customFormat="1" ht="25.5" customHeight="1" x14ac:dyDescent="0.25">
      <c r="A61" s="82"/>
      <c r="B61" s="77" t="s">
        <v>105</v>
      </c>
      <c r="C61" s="83"/>
      <c r="D61" s="51">
        <f>D62</f>
        <v>3372950</v>
      </c>
      <c r="E61" s="51">
        <f>E62</f>
        <v>4512950</v>
      </c>
      <c r="F61" s="106">
        <f t="shared" ref="F61:O61" si="51">F62</f>
        <v>1842950</v>
      </c>
      <c r="G61" s="106">
        <f t="shared" si="51"/>
        <v>905398</v>
      </c>
      <c r="H61" s="106">
        <f t="shared" si="51"/>
        <v>0</v>
      </c>
      <c r="I61" s="106">
        <f t="shared" si="51"/>
        <v>1530000</v>
      </c>
      <c r="J61" s="106">
        <f t="shared" si="51"/>
        <v>1140000</v>
      </c>
      <c r="K61" s="97">
        <f t="shared" si="51"/>
        <v>162950</v>
      </c>
      <c r="L61" s="143">
        <f t="shared" si="51"/>
        <v>810000</v>
      </c>
      <c r="M61" s="152">
        <f t="shared" si="51"/>
        <v>0</v>
      </c>
      <c r="N61" s="176">
        <f t="shared" si="51"/>
        <v>3130000</v>
      </c>
      <c r="O61" s="130">
        <f t="shared" si="51"/>
        <v>4102950</v>
      </c>
      <c r="P61" s="46">
        <f t="shared" si="27"/>
        <v>90.915033403871078</v>
      </c>
      <c r="Q61" s="123">
        <f>Q62</f>
        <v>410000</v>
      </c>
      <c r="R61" s="47">
        <f t="shared" si="28"/>
        <v>9.0849665961289183</v>
      </c>
      <c r="S61" s="202">
        <f>S62</f>
        <v>410000</v>
      </c>
      <c r="T61" s="47">
        <f t="shared" si="29"/>
        <v>9.0849665961289183</v>
      </c>
      <c r="U61" s="39"/>
      <c r="V61" s="155"/>
      <c r="W61" s="155"/>
      <c r="X61" s="155"/>
      <c r="Y61" s="155"/>
      <c r="Z61" s="155"/>
      <c r="AA61" s="155"/>
      <c r="AB61" s="155"/>
    </row>
    <row r="62" spans="1:28" s="3" customFormat="1" ht="77.25" customHeight="1" x14ac:dyDescent="0.25">
      <c r="A62" s="82" t="s">
        <v>26</v>
      </c>
      <c r="B62" s="84" t="s">
        <v>106</v>
      </c>
      <c r="C62" s="83" t="s">
        <v>90</v>
      </c>
      <c r="D62" s="27">
        <v>3372950</v>
      </c>
      <c r="E62" s="27">
        <v>4512950</v>
      </c>
      <c r="F62" s="107">
        <v>1842950</v>
      </c>
      <c r="G62" s="27">
        <v>905398</v>
      </c>
      <c r="H62" s="107">
        <v>0</v>
      </c>
      <c r="I62" s="107">
        <v>1530000</v>
      </c>
      <c r="J62" s="107">
        <v>1140000</v>
      </c>
      <c r="K62" s="99">
        <v>162950</v>
      </c>
      <c r="L62" s="144">
        <f>972950-K62</f>
        <v>810000</v>
      </c>
      <c r="M62" s="153"/>
      <c r="N62" s="177">
        <f>4102950-L62-K62</f>
        <v>3130000</v>
      </c>
      <c r="O62" s="128">
        <f>K62+L62+M62+N62</f>
        <v>4102950</v>
      </c>
      <c r="P62" s="46">
        <f t="shared" si="27"/>
        <v>90.915033403871078</v>
      </c>
      <c r="Q62" s="122">
        <f>(F62+H62+I62+J62)-O62</f>
        <v>410000</v>
      </c>
      <c r="R62" s="47">
        <f t="shared" si="28"/>
        <v>9.0849665961289183</v>
      </c>
      <c r="S62" s="198">
        <f>E62-O62</f>
        <v>410000</v>
      </c>
      <c r="T62" s="47">
        <f t="shared" si="29"/>
        <v>9.0849665961289183</v>
      </c>
      <c r="U62" s="39"/>
      <c r="V62" s="155"/>
      <c r="W62" s="155"/>
      <c r="X62" s="155"/>
      <c r="Y62" s="155"/>
      <c r="Z62" s="155"/>
      <c r="AA62" s="155"/>
      <c r="AB62" s="155"/>
    </row>
    <row r="63" spans="1:28" s="3" customFormat="1" ht="32.25" customHeight="1" x14ac:dyDescent="0.25">
      <c r="A63" s="72"/>
      <c r="B63" s="77" t="s">
        <v>65</v>
      </c>
      <c r="C63" s="73"/>
      <c r="D63" s="51">
        <f>D64</f>
        <v>32872850</v>
      </c>
      <c r="E63" s="51">
        <f>E64</f>
        <v>35872850</v>
      </c>
      <c r="F63" s="106">
        <f>F64</f>
        <v>8313262</v>
      </c>
      <c r="G63" s="106">
        <f t="shared" ref="G63:J63" si="52">G64</f>
        <v>12558406</v>
      </c>
      <c r="H63" s="106">
        <f t="shared" si="52"/>
        <v>8269862</v>
      </c>
      <c r="I63" s="106">
        <f t="shared" si="52"/>
        <v>8144862</v>
      </c>
      <c r="J63" s="106">
        <f t="shared" si="52"/>
        <v>11144864</v>
      </c>
      <c r="K63" s="97">
        <f>K64</f>
        <v>5720000</v>
      </c>
      <c r="L63" s="143">
        <f>L64</f>
        <v>6500750</v>
      </c>
      <c r="M63" s="152">
        <f>M64</f>
        <v>5560750</v>
      </c>
      <c r="N63" s="176">
        <f>N64</f>
        <v>18091350</v>
      </c>
      <c r="O63" s="130">
        <f>O64</f>
        <v>35872850</v>
      </c>
      <c r="P63" s="46">
        <f t="shared" si="27"/>
        <v>100</v>
      </c>
      <c r="Q63" s="123">
        <f>Q64</f>
        <v>0</v>
      </c>
      <c r="R63" s="47">
        <f t="shared" si="28"/>
        <v>0</v>
      </c>
      <c r="S63" s="202">
        <f>S64</f>
        <v>0</v>
      </c>
      <c r="T63" s="47">
        <f t="shared" si="29"/>
        <v>0</v>
      </c>
      <c r="U63" s="39"/>
      <c r="V63" s="155"/>
    </row>
    <row r="64" spans="1:28" s="3" customFormat="1" ht="42" customHeight="1" x14ac:dyDescent="0.25">
      <c r="A64" s="72"/>
      <c r="B64" s="73" t="s">
        <v>66</v>
      </c>
      <c r="C64" s="73"/>
      <c r="D64" s="51">
        <f>SUM(D65)</f>
        <v>32872850</v>
      </c>
      <c r="E64" s="51">
        <f>SUM(E65)</f>
        <v>35872850</v>
      </c>
      <c r="F64" s="106">
        <f>SUM(F65)</f>
        <v>8313262</v>
      </c>
      <c r="G64" s="106">
        <f t="shared" ref="G64:J64" si="53">SUM(G65)</f>
        <v>12558406</v>
      </c>
      <c r="H64" s="106">
        <f t="shared" si="53"/>
        <v>8269862</v>
      </c>
      <c r="I64" s="106">
        <f t="shared" si="53"/>
        <v>8144862</v>
      </c>
      <c r="J64" s="106">
        <f t="shared" si="53"/>
        <v>11144864</v>
      </c>
      <c r="K64" s="97">
        <f>SUM(K65)</f>
        <v>5720000</v>
      </c>
      <c r="L64" s="143">
        <f>SUM(L65)</f>
        <v>6500750</v>
      </c>
      <c r="M64" s="152">
        <f>SUM(M65)</f>
        <v>5560750</v>
      </c>
      <c r="N64" s="176">
        <f>SUM(N65)</f>
        <v>18091350</v>
      </c>
      <c r="O64" s="130">
        <f>SUM(O65)</f>
        <v>35872850</v>
      </c>
      <c r="P64" s="46">
        <f t="shared" si="27"/>
        <v>100</v>
      </c>
      <c r="Q64" s="123">
        <f>Q65</f>
        <v>0</v>
      </c>
      <c r="R64" s="47">
        <f t="shared" si="28"/>
        <v>0</v>
      </c>
      <c r="S64" s="202">
        <f>S65</f>
        <v>0</v>
      </c>
      <c r="T64" s="47">
        <f t="shared" si="29"/>
        <v>0</v>
      </c>
      <c r="U64" s="39"/>
      <c r="V64" s="155"/>
    </row>
    <row r="65" spans="1:24" s="3" customFormat="1" ht="42" customHeight="1" x14ac:dyDescent="0.25">
      <c r="A65" s="72"/>
      <c r="B65" s="74" t="s">
        <v>84</v>
      </c>
      <c r="C65" s="75" t="s">
        <v>87</v>
      </c>
      <c r="D65" s="27">
        <v>32872850</v>
      </c>
      <c r="E65" s="27">
        <v>35872850</v>
      </c>
      <c r="F65" s="107">
        <v>8313262</v>
      </c>
      <c r="G65" s="27">
        <v>12558406</v>
      </c>
      <c r="H65" s="107">
        <v>8269862</v>
      </c>
      <c r="I65" s="107">
        <v>8144862</v>
      </c>
      <c r="J65" s="107">
        <v>11144864</v>
      </c>
      <c r="K65" s="99">
        <v>5720000</v>
      </c>
      <c r="L65" s="144">
        <f>12220750-K65</f>
        <v>6500750</v>
      </c>
      <c r="M65" s="153">
        <f>3140000+190750+2230000</f>
        <v>5560750</v>
      </c>
      <c r="N65" s="177">
        <f>35872850-K65-L65-M65</f>
        <v>18091350</v>
      </c>
      <c r="O65" s="128">
        <f>K65+L65+M65+N65</f>
        <v>35872850</v>
      </c>
      <c r="P65" s="46">
        <f t="shared" si="27"/>
        <v>100</v>
      </c>
      <c r="Q65" s="122">
        <f>(F65+H65+I65+J65)-O65</f>
        <v>0</v>
      </c>
      <c r="R65" s="47">
        <f t="shared" si="28"/>
        <v>0</v>
      </c>
      <c r="S65" s="198">
        <f>E65-O65</f>
        <v>0</v>
      </c>
      <c r="T65" s="47">
        <f t="shared" si="29"/>
        <v>0</v>
      </c>
      <c r="U65" s="39"/>
      <c r="V65" s="182">
        <f>O65-17980000-403200</f>
        <v>17489650</v>
      </c>
    </row>
    <row r="66" spans="1:24" s="3" customFormat="1" ht="33" customHeight="1" x14ac:dyDescent="0.25">
      <c r="A66" s="72"/>
      <c r="B66" s="77" t="s">
        <v>67</v>
      </c>
      <c r="C66" s="73"/>
      <c r="D66" s="51">
        <f>D67</f>
        <v>12753200</v>
      </c>
      <c r="E66" s="51">
        <f>E67</f>
        <v>13378200</v>
      </c>
      <c r="F66" s="106">
        <f>F67</f>
        <v>1595000</v>
      </c>
      <c r="G66" s="106">
        <f t="shared" ref="G66:J66" si="54">G67</f>
        <v>3099334</v>
      </c>
      <c r="H66" s="106">
        <f t="shared" si="54"/>
        <v>3649700</v>
      </c>
      <c r="I66" s="106">
        <f t="shared" si="54"/>
        <v>3402250</v>
      </c>
      <c r="J66" s="106">
        <f t="shared" si="54"/>
        <v>4731250</v>
      </c>
      <c r="K66" s="97">
        <f>K67</f>
        <v>0</v>
      </c>
      <c r="L66" s="143">
        <f>L67</f>
        <v>420000</v>
      </c>
      <c r="M66" s="152">
        <f>M67</f>
        <v>0</v>
      </c>
      <c r="N66" s="176">
        <f>N67</f>
        <v>7151000</v>
      </c>
      <c r="O66" s="127">
        <f>O67</f>
        <v>7571000</v>
      </c>
      <c r="P66" s="46">
        <f t="shared" si="27"/>
        <v>56.5920676922157</v>
      </c>
      <c r="Q66" s="123">
        <f>Q67</f>
        <v>5807200</v>
      </c>
      <c r="R66" s="47">
        <f t="shared" si="28"/>
        <v>43.407932307784307</v>
      </c>
      <c r="S66" s="202">
        <f>D66-O66</f>
        <v>5182200</v>
      </c>
      <c r="T66" s="47">
        <f t="shared" si="29"/>
        <v>38.736152845674305</v>
      </c>
      <c r="U66" s="39"/>
      <c r="V66" s="155"/>
    </row>
    <row r="67" spans="1:24" s="3" customFormat="1" ht="42" customHeight="1" x14ac:dyDescent="0.25">
      <c r="A67" s="72"/>
      <c r="B67" s="73" t="s">
        <v>68</v>
      </c>
      <c r="C67" s="73"/>
      <c r="D67" s="51">
        <f>SUM(D68:D69)</f>
        <v>12753200</v>
      </c>
      <c r="E67" s="51">
        <f>SUM(E68:E69)</f>
        <v>13378200</v>
      </c>
      <c r="F67" s="106">
        <f>SUM(F68:F69)</f>
        <v>1595000</v>
      </c>
      <c r="G67" s="106">
        <f t="shared" ref="G67:J67" si="55">SUM(G68:G69)</f>
        <v>3099334</v>
      </c>
      <c r="H67" s="106">
        <f t="shared" si="55"/>
        <v>3649700</v>
      </c>
      <c r="I67" s="106">
        <f t="shared" si="55"/>
        <v>3402250</v>
      </c>
      <c r="J67" s="106">
        <f t="shared" si="55"/>
        <v>4731250</v>
      </c>
      <c r="K67" s="97">
        <f>SUM(K68:K69)</f>
        <v>0</v>
      </c>
      <c r="L67" s="143">
        <f>SUM(L68:L69)</f>
        <v>420000</v>
      </c>
      <c r="M67" s="152">
        <f>SUM(M68:M69)</f>
        <v>0</v>
      </c>
      <c r="N67" s="176">
        <f>SUM(N68:N69)</f>
        <v>7151000</v>
      </c>
      <c r="O67" s="127">
        <f>SUM(O68:O69)</f>
        <v>7571000</v>
      </c>
      <c r="P67" s="46">
        <f t="shared" si="27"/>
        <v>56.5920676922157</v>
      </c>
      <c r="Q67" s="125">
        <f>SUM(Q68:Q69)</f>
        <v>5807200</v>
      </c>
      <c r="R67" s="47">
        <f t="shared" si="28"/>
        <v>43.407932307784307</v>
      </c>
      <c r="S67" s="203">
        <f>SUM(S68:S69)</f>
        <v>5807200</v>
      </c>
      <c r="T67" s="47">
        <f t="shared" si="29"/>
        <v>43.407932307784307</v>
      </c>
      <c r="U67" s="116"/>
      <c r="V67" s="155"/>
    </row>
    <row r="68" spans="1:24" s="3" customFormat="1" ht="33" customHeight="1" x14ac:dyDescent="0.25">
      <c r="A68" s="82" t="s">
        <v>26</v>
      </c>
      <c r="B68" s="74" t="s">
        <v>118</v>
      </c>
      <c r="C68" s="75" t="s">
        <v>87</v>
      </c>
      <c r="D68" s="27">
        <v>3044500</v>
      </c>
      <c r="E68" s="27">
        <v>3669500</v>
      </c>
      <c r="F68" s="107">
        <v>195000</v>
      </c>
      <c r="G68" s="27">
        <v>0</v>
      </c>
      <c r="H68" s="107">
        <v>0</v>
      </c>
      <c r="I68" s="107">
        <v>2002250</v>
      </c>
      <c r="J68" s="107">
        <v>1472250</v>
      </c>
      <c r="K68" s="99">
        <v>0</v>
      </c>
      <c r="L68" s="144">
        <v>0</v>
      </c>
      <c r="M68" s="153">
        <v>0</v>
      </c>
      <c r="N68" s="177">
        <f>3481000</f>
        <v>3481000</v>
      </c>
      <c r="O68" s="128">
        <f t="shared" ref="O68:O69" si="56">K68+L68+M68+N68</f>
        <v>3481000</v>
      </c>
      <c r="P68" s="46">
        <f t="shared" si="27"/>
        <v>94.8630603624472</v>
      </c>
      <c r="Q68" s="122">
        <f>(F68+H68+I68+J68)-O68</f>
        <v>188500</v>
      </c>
      <c r="R68" s="47">
        <f t="shared" si="28"/>
        <v>5.1369396375527998</v>
      </c>
      <c r="S68" s="198">
        <f>E68-O68</f>
        <v>188500</v>
      </c>
      <c r="T68" s="47">
        <f t="shared" si="29"/>
        <v>5.1369396375527998</v>
      </c>
      <c r="U68" s="39"/>
      <c r="V68" s="155"/>
    </row>
    <row r="69" spans="1:24" s="3" customFormat="1" ht="27.75" customHeight="1" x14ac:dyDescent="0.25">
      <c r="A69" s="85">
        <v>18</v>
      </c>
      <c r="B69" s="86" t="s">
        <v>103</v>
      </c>
      <c r="C69" s="75" t="s">
        <v>88</v>
      </c>
      <c r="D69" s="27">
        <v>9708700</v>
      </c>
      <c r="E69" s="27">
        <v>9708700</v>
      </c>
      <c r="F69" s="107">
        <v>1400000</v>
      </c>
      <c r="G69" s="27">
        <v>3099334</v>
      </c>
      <c r="H69" s="107">
        <v>3649700</v>
      </c>
      <c r="I69" s="107">
        <v>1400000</v>
      </c>
      <c r="J69" s="107">
        <v>3259000</v>
      </c>
      <c r="K69" s="99">
        <v>0</v>
      </c>
      <c r="L69" s="144">
        <v>420000</v>
      </c>
      <c r="M69" s="153">
        <v>0</v>
      </c>
      <c r="N69" s="177">
        <f>4090000-L69</f>
        <v>3670000</v>
      </c>
      <c r="O69" s="128">
        <f t="shared" si="56"/>
        <v>4090000</v>
      </c>
      <c r="P69" s="46">
        <f t="shared" si="27"/>
        <v>42.127164295940759</v>
      </c>
      <c r="Q69" s="122">
        <f>(F69+H69+I69+J69)-O69</f>
        <v>5618700</v>
      </c>
      <c r="R69" s="47">
        <f t="shared" si="28"/>
        <v>57.872835704059241</v>
      </c>
      <c r="S69" s="198">
        <f>E69-O69</f>
        <v>5618700</v>
      </c>
      <c r="T69" s="47">
        <f t="shared" si="29"/>
        <v>57.872835704059241</v>
      </c>
      <c r="U69" s="39"/>
      <c r="V69" s="155"/>
    </row>
    <row r="70" spans="1:24" s="3" customFormat="1" ht="16.5" x14ac:dyDescent="0.25">
      <c r="A70" s="233" t="s">
        <v>29</v>
      </c>
      <c r="B70" s="234"/>
      <c r="C70" s="50"/>
      <c r="D70" s="156">
        <f>D11</f>
        <v>4097190250</v>
      </c>
      <c r="E70" s="156">
        <f>E11</f>
        <v>4097190250</v>
      </c>
      <c r="F70" s="157">
        <f>F11</f>
        <v>1734487209.2</v>
      </c>
      <c r="G70" s="157">
        <f t="shared" ref="G70" si="57">G11</f>
        <v>1177015618</v>
      </c>
      <c r="H70" s="157">
        <f t="shared" ref="H70:O70" si="58">H11</f>
        <v>1343612393.04</v>
      </c>
      <c r="I70" s="157">
        <f t="shared" si="58"/>
        <v>522995304.25999999</v>
      </c>
      <c r="J70" s="157">
        <f t="shared" si="58"/>
        <v>496995343.5</v>
      </c>
      <c r="K70" s="158">
        <f t="shared" si="58"/>
        <v>551757790</v>
      </c>
      <c r="L70" s="159">
        <f t="shared" si="58"/>
        <v>1136980645</v>
      </c>
      <c r="M70" s="160">
        <f t="shared" si="58"/>
        <v>616530046</v>
      </c>
      <c r="N70" s="179">
        <f t="shared" si="58"/>
        <v>1517363262</v>
      </c>
      <c r="O70" s="161">
        <f t="shared" si="58"/>
        <v>3822631743</v>
      </c>
      <c r="P70" s="46">
        <f t="shared" si="27"/>
        <v>93.278368942704475</v>
      </c>
      <c r="Q70" s="162">
        <f>Q11</f>
        <v>275458507</v>
      </c>
      <c r="R70" s="46">
        <f t="shared" si="28"/>
        <v>6.7216310572955296</v>
      </c>
      <c r="S70" s="204">
        <f>D70-O70</f>
        <v>274558507</v>
      </c>
      <c r="T70" s="47">
        <f t="shared" si="29"/>
        <v>6.7011412760244653</v>
      </c>
      <c r="U70" s="22"/>
      <c r="V70" s="155"/>
    </row>
    <row r="71" spans="1:24" s="3" customFormat="1" ht="17.25" thickBot="1" x14ac:dyDescent="0.3">
      <c r="A71" s="235" t="s">
        <v>30</v>
      </c>
      <c r="B71" s="236"/>
      <c r="C71" s="23"/>
      <c r="D71" s="163">
        <f>SUM(D70:D70)</f>
        <v>4097190250</v>
      </c>
      <c r="E71" s="163">
        <f>SUM(E70:E70)</f>
        <v>4097190250</v>
      </c>
      <c r="F71" s="164">
        <f>SUM(F70:F70)</f>
        <v>1734487209.2</v>
      </c>
      <c r="G71" s="164">
        <f t="shared" ref="G71:J71" si="59">SUM(G70:G70)</f>
        <v>1177015618</v>
      </c>
      <c r="H71" s="164">
        <f t="shared" si="59"/>
        <v>1343612393.04</v>
      </c>
      <c r="I71" s="164">
        <f t="shared" si="59"/>
        <v>522995304.25999999</v>
      </c>
      <c r="J71" s="164">
        <f t="shared" si="59"/>
        <v>496995343.5</v>
      </c>
      <c r="K71" s="165">
        <f>SUM(K70:K70)</f>
        <v>551757790</v>
      </c>
      <c r="L71" s="166">
        <f>SUM(L70:L70)</f>
        <v>1136980645</v>
      </c>
      <c r="M71" s="167">
        <f>SUM(M70:M70)</f>
        <v>616530046</v>
      </c>
      <c r="N71" s="180">
        <f>SUM(N70:N70)</f>
        <v>1517363262</v>
      </c>
      <c r="O71" s="168">
        <f>SUM(O70:O70)</f>
        <v>3822631743</v>
      </c>
      <c r="P71" s="181">
        <f t="shared" si="27"/>
        <v>93.278368942704475</v>
      </c>
      <c r="Q71" s="162">
        <f>Q70</f>
        <v>275458507</v>
      </c>
      <c r="R71" s="46">
        <f t="shared" si="28"/>
        <v>6.7216310572955296</v>
      </c>
      <c r="S71" s="205">
        <f>D71-O71</f>
        <v>274558507</v>
      </c>
      <c r="T71" s="47">
        <f t="shared" si="29"/>
        <v>6.7011412760244653</v>
      </c>
      <c r="U71" s="119"/>
      <c r="V71" s="182"/>
    </row>
    <row r="72" spans="1:24" ht="6" customHeight="1" thickTop="1" x14ac:dyDescent="0.25">
      <c r="B72" s="10"/>
      <c r="C72" s="10"/>
      <c r="D72" s="17"/>
      <c r="E72" s="17"/>
      <c r="P72" s="12"/>
      <c r="Q72" s="52"/>
      <c r="R72" s="53"/>
      <c r="S72" s="54"/>
      <c r="T72" s="55"/>
      <c r="V72" s="87"/>
    </row>
    <row r="73" spans="1:24" x14ac:dyDescent="0.25">
      <c r="B73" s="10"/>
      <c r="C73" s="10"/>
      <c r="D73" s="17"/>
      <c r="E73" s="17"/>
      <c r="K73" s="67"/>
      <c r="L73" s="229"/>
      <c r="M73" s="229"/>
      <c r="N73" s="229"/>
      <c r="O73" s="229"/>
      <c r="P73" s="12"/>
      <c r="Q73" s="14" t="s">
        <v>128</v>
      </c>
      <c r="R73" s="60"/>
      <c r="S73" s="61"/>
      <c r="T73" s="62"/>
      <c r="U73" s="80"/>
      <c r="V73" s="87"/>
    </row>
    <row r="74" spans="1:24" x14ac:dyDescent="0.25">
      <c r="B74" s="10"/>
      <c r="C74" s="10"/>
      <c r="D74" s="17"/>
      <c r="E74" s="17"/>
      <c r="H74" s="80"/>
      <c r="I74" s="80"/>
      <c r="J74" s="80"/>
      <c r="K74" s="136"/>
      <c r="L74" s="80"/>
      <c r="M74" s="80"/>
      <c r="N74" s="80"/>
      <c r="O74" s="11"/>
      <c r="P74" s="11"/>
      <c r="Q74" s="88" t="s">
        <v>94</v>
      </c>
      <c r="R74" s="11"/>
      <c r="S74" s="11"/>
      <c r="T74" s="11"/>
      <c r="U74" s="80"/>
      <c r="V74" s="87"/>
    </row>
    <row r="75" spans="1:24" x14ac:dyDescent="0.25">
      <c r="B75" s="10"/>
      <c r="C75" s="10"/>
      <c r="L75" s="11"/>
      <c r="M75" s="11"/>
      <c r="N75" s="11"/>
      <c r="O75" s="67"/>
      <c r="Q75" s="89"/>
      <c r="U75" s="11"/>
      <c r="V75" s="87"/>
    </row>
    <row r="76" spans="1:24" x14ac:dyDescent="0.25">
      <c r="B76" s="10"/>
      <c r="C76" s="10"/>
      <c r="K76" s="11"/>
      <c r="O76" s="11"/>
      <c r="Q76" s="89"/>
      <c r="V76" s="87"/>
    </row>
    <row r="77" spans="1:24" x14ac:dyDescent="0.25">
      <c r="B77" s="10"/>
      <c r="C77" s="10"/>
      <c r="D77" s="10"/>
      <c r="E77" s="10"/>
      <c r="F77" s="10"/>
      <c r="G77" s="10"/>
      <c r="H77" s="10"/>
      <c r="I77" s="10"/>
      <c r="J77" s="10"/>
      <c r="K77" s="11"/>
      <c r="L77" s="10"/>
      <c r="M77" s="10"/>
      <c r="N77" s="10"/>
      <c r="O77" s="11"/>
      <c r="Q77" s="90" t="s">
        <v>110</v>
      </c>
      <c r="V77" s="87"/>
    </row>
    <row r="78" spans="1:24" s="13" customFormat="1" x14ac:dyDescent="0.25">
      <c r="A78" s="9"/>
      <c r="B78" s="10"/>
      <c r="C78" s="10"/>
      <c r="D78" s="10"/>
      <c r="E78" s="10"/>
      <c r="F78" s="10"/>
      <c r="G78" s="10"/>
      <c r="H78" s="10"/>
      <c r="I78" s="10"/>
      <c r="J78" s="10"/>
      <c r="K78" s="11"/>
      <c r="L78" s="10"/>
      <c r="M78" s="10"/>
      <c r="N78" s="10"/>
      <c r="O78" s="11"/>
      <c r="Q78" s="88" t="s">
        <v>93</v>
      </c>
      <c r="S78"/>
      <c r="U78"/>
      <c r="V78" s="87"/>
      <c r="W78"/>
      <c r="X78"/>
    </row>
    <row r="79" spans="1:24" s="13" customFormat="1" x14ac:dyDescent="0.25">
      <c r="A79" s="9"/>
      <c r="B79" s="10"/>
      <c r="C79" s="10"/>
      <c r="D79" s="10"/>
      <c r="E79" s="10"/>
      <c r="F79" s="10"/>
      <c r="G79" s="10"/>
      <c r="H79" s="10"/>
      <c r="I79" s="10"/>
      <c r="J79" s="10"/>
      <c r="K79" s="11"/>
      <c r="L79" s="10"/>
      <c r="M79" s="10"/>
      <c r="N79" s="10"/>
      <c r="O79" s="11"/>
      <c r="Q79" s="88" t="s">
        <v>111</v>
      </c>
      <c r="S79"/>
      <c r="U79"/>
      <c r="V79" s="87"/>
      <c r="W79"/>
      <c r="X79"/>
    </row>
    <row r="80" spans="1:24" s="13" customFormat="1" x14ac:dyDescent="0.25">
      <c r="A80" s="9"/>
      <c r="B80" s="10"/>
      <c r="C80" s="10"/>
      <c r="D80" s="10"/>
      <c r="E80" s="10"/>
      <c r="F80" s="10"/>
      <c r="G80" s="10"/>
      <c r="H80" s="10"/>
      <c r="I80" s="10"/>
      <c r="J80" s="10"/>
      <c r="K80" s="11"/>
      <c r="L80" s="10"/>
      <c r="M80" s="10"/>
      <c r="N80" s="10"/>
      <c r="O80" s="11"/>
      <c r="S80"/>
      <c r="U80"/>
      <c r="V80"/>
      <c r="W80"/>
      <c r="X80"/>
    </row>
    <row r="81" spans="1:24" s="13" customFormat="1" x14ac:dyDescent="0.25">
      <c r="A81" s="9"/>
      <c r="B81" s="10"/>
      <c r="C81" s="10"/>
      <c r="D81" s="10"/>
      <c r="E81" s="10"/>
      <c r="F81" s="10"/>
      <c r="G81" s="10"/>
      <c r="H81" s="10"/>
      <c r="I81" s="10"/>
      <c r="J81" s="10"/>
      <c r="K81" s="11"/>
      <c r="L81" s="10"/>
      <c r="M81" s="10"/>
      <c r="N81" s="10"/>
      <c r="O81" s="11"/>
      <c r="S81"/>
      <c r="U81"/>
      <c r="V81"/>
      <c r="W81"/>
      <c r="X81"/>
    </row>
    <row r="82" spans="1:24" s="13" customFormat="1" x14ac:dyDescent="0.25">
      <c r="A82" s="9"/>
      <c r="B82" s="10"/>
      <c r="C82" s="10"/>
      <c r="D82" s="10"/>
      <c r="E82" s="10"/>
      <c r="F82" s="10"/>
      <c r="G82" s="10"/>
      <c r="H82" s="10"/>
      <c r="I82" s="10"/>
      <c r="J82" s="10"/>
      <c r="K82" s="11"/>
      <c r="L82" s="10"/>
      <c r="M82" s="10"/>
      <c r="N82" s="10"/>
      <c r="O82" s="11"/>
      <c r="S82"/>
      <c r="U82"/>
      <c r="V82"/>
      <c r="W82"/>
      <c r="X82"/>
    </row>
    <row r="83" spans="1:24" s="13" customFormat="1" x14ac:dyDescent="0.25">
      <c r="A83" s="9"/>
      <c r="B83" s="10"/>
      <c r="C83" s="10"/>
      <c r="D83" s="10"/>
      <c r="E83" s="10"/>
      <c r="F83" s="10"/>
      <c r="G83" s="10"/>
      <c r="H83" s="10"/>
      <c r="I83" s="10"/>
      <c r="J83" s="10"/>
      <c r="K83" s="11"/>
      <c r="L83" s="10"/>
      <c r="M83" s="10"/>
      <c r="N83" s="10"/>
      <c r="O83" s="11"/>
      <c r="S83"/>
      <c r="U83"/>
      <c r="V83"/>
      <c r="W83"/>
      <c r="X83"/>
    </row>
    <row r="84" spans="1:24" s="13" customFormat="1" x14ac:dyDescent="0.25">
      <c r="A84" s="9"/>
      <c r="B84" s="10"/>
      <c r="C84" s="10"/>
      <c r="D84" s="10"/>
      <c r="E84" s="10"/>
      <c r="F84" s="10"/>
      <c r="G84" s="10"/>
      <c r="H84" s="10"/>
      <c r="I84" s="10"/>
      <c r="J84" s="10"/>
      <c r="K84" s="11"/>
      <c r="L84" s="10"/>
      <c r="M84" s="10"/>
      <c r="N84" s="10"/>
      <c r="O84" s="11"/>
      <c r="S84"/>
      <c r="U84"/>
      <c r="V84"/>
      <c r="W84"/>
      <c r="X84"/>
    </row>
    <row r="85" spans="1:24" s="13" customFormat="1" x14ac:dyDescent="0.25">
      <c r="A85" s="9"/>
      <c r="B85" s="10"/>
      <c r="C85" s="10"/>
      <c r="D85" s="10"/>
      <c r="E85" s="10"/>
      <c r="F85" s="10"/>
      <c r="G85" s="10"/>
      <c r="H85" s="10"/>
      <c r="I85" s="10"/>
      <c r="J85" s="10"/>
      <c r="K85" s="11"/>
      <c r="L85" s="10"/>
      <c r="M85" s="10"/>
      <c r="N85" s="10"/>
      <c r="O85" s="11"/>
      <c r="S85"/>
      <c r="U85"/>
      <c r="V85"/>
      <c r="W85"/>
      <c r="X85"/>
    </row>
    <row r="86" spans="1:24" s="13" customFormat="1" x14ac:dyDescent="0.25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1"/>
      <c r="L86" s="10"/>
      <c r="M86" s="10"/>
      <c r="N86" s="10"/>
      <c r="O86" s="11"/>
      <c r="S86"/>
      <c r="U86"/>
      <c r="V86"/>
      <c r="W86"/>
      <c r="X86"/>
    </row>
    <row r="87" spans="1:24" s="13" customFormat="1" x14ac:dyDescent="0.25">
      <c r="A87" s="9"/>
      <c r="B87"/>
      <c r="C87"/>
      <c r="D87"/>
      <c r="E87"/>
      <c r="F87"/>
      <c r="G87"/>
      <c r="H87"/>
      <c r="I87"/>
      <c r="J87"/>
      <c r="K87" s="11"/>
      <c r="L87"/>
      <c r="M87"/>
      <c r="N87"/>
      <c r="O87" s="11"/>
      <c r="S87"/>
      <c r="U87"/>
      <c r="V87"/>
      <c r="W87"/>
      <c r="X87"/>
    </row>
    <row r="88" spans="1:24" s="13" customFormat="1" x14ac:dyDescent="0.25">
      <c r="A88" s="9"/>
      <c r="B88"/>
      <c r="C88"/>
      <c r="D88"/>
      <c r="E88"/>
      <c r="F88"/>
      <c r="G88"/>
      <c r="H88"/>
      <c r="I88"/>
      <c r="J88"/>
      <c r="K88" s="11"/>
      <c r="L88"/>
      <c r="M88"/>
      <c r="N88"/>
      <c r="O88" s="11"/>
      <c r="S88"/>
      <c r="U88"/>
      <c r="V88"/>
      <c r="W88"/>
      <c r="X88"/>
    </row>
    <row r="89" spans="1:24" s="13" customFormat="1" x14ac:dyDescent="0.25">
      <c r="A89" s="9"/>
      <c r="B89"/>
      <c r="C89"/>
      <c r="D89"/>
      <c r="E89"/>
      <c r="F89"/>
      <c r="G89"/>
      <c r="H89"/>
      <c r="I89"/>
      <c r="J89"/>
      <c r="K89" s="11"/>
      <c r="L89"/>
      <c r="M89"/>
      <c r="N89"/>
      <c r="O89" s="11"/>
      <c r="S89"/>
      <c r="U89"/>
      <c r="V89"/>
      <c r="W89"/>
      <c r="X89"/>
    </row>
    <row r="90" spans="1:24" s="13" customFormat="1" x14ac:dyDescent="0.25">
      <c r="A90" s="9"/>
      <c r="B90"/>
      <c r="C90"/>
      <c r="D90"/>
      <c r="E90"/>
      <c r="F90"/>
      <c r="G90"/>
      <c r="H90"/>
      <c r="I90"/>
      <c r="J90"/>
      <c r="K90" s="11"/>
      <c r="L90"/>
      <c r="M90"/>
      <c r="N90"/>
      <c r="O90" s="11"/>
      <c r="S90"/>
      <c r="U90"/>
      <c r="V90"/>
      <c r="W90"/>
      <c r="X90"/>
    </row>
    <row r="91" spans="1:24" s="13" customFormat="1" x14ac:dyDescent="0.25">
      <c r="A91" s="9"/>
      <c r="B91"/>
      <c r="C91"/>
      <c r="D91"/>
      <c r="E91"/>
      <c r="F91"/>
      <c r="G91"/>
      <c r="H91"/>
      <c r="I91"/>
      <c r="J91"/>
      <c r="K91" s="11"/>
      <c r="L91"/>
      <c r="M91"/>
      <c r="N91"/>
      <c r="O91" s="11"/>
      <c r="S91"/>
      <c r="U91"/>
      <c r="V91"/>
      <c r="W91"/>
      <c r="X91"/>
    </row>
    <row r="92" spans="1:24" s="13" customFormat="1" x14ac:dyDescent="0.25">
      <c r="A92" s="9"/>
      <c r="B92"/>
      <c r="C92"/>
      <c r="D92"/>
      <c r="E92"/>
      <c r="F92"/>
      <c r="G92"/>
      <c r="H92"/>
      <c r="I92"/>
      <c r="J92"/>
      <c r="K92" s="11"/>
      <c r="L92"/>
      <c r="M92"/>
      <c r="N92"/>
      <c r="O92" s="11"/>
      <c r="S92"/>
      <c r="U92"/>
      <c r="V92"/>
      <c r="W92"/>
      <c r="X92"/>
    </row>
  </sheetData>
  <mergeCells count="25">
    <mergeCell ref="L73:O73"/>
    <mergeCell ref="O5:O7"/>
    <mergeCell ref="A70:B70"/>
    <mergeCell ref="A71:B71"/>
    <mergeCell ref="H5:H7"/>
    <mergeCell ref="K5:K7"/>
    <mergeCell ref="G5:G7"/>
    <mergeCell ref="L5:L7"/>
    <mergeCell ref="N5:N7"/>
    <mergeCell ref="A1:U1"/>
    <mergeCell ref="A2:U2"/>
    <mergeCell ref="A3:U3"/>
    <mergeCell ref="A5:A7"/>
    <mergeCell ref="B5:B7"/>
    <mergeCell ref="C5:C7"/>
    <mergeCell ref="D5:D7"/>
    <mergeCell ref="F5:F7"/>
    <mergeCell ref="Q5:R6"/>
    <mergeCell ref="S5:T6"/>
    <mergeCell ref="U5:U7"/>
    <mergeCell ref="P5:P7"/>
    <mergeCell ref="I5:I7"/>
    <mergeCell ref="M5:M7"/>
    <mergeCell ref="E5:E7"/>
    <mergeCell ref="J5:J7"/>
  </mergeCells>
  <printOptions horizontalCentered="1" verticalCentered="1"/>
  <pageMargins left="0.24" right="0.2" top="0.33" bottom="0.36" header="0.3" footer="0.25"/>
  <pageSetup paperSize="5" scale="90" orientation="landscape" horizontalDpi="4294967294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Form 1</vt:lpstr>
      <vt:lpstr>'Form 1'!Print_Area</vt:lpstr>
      <vt:lpstr>'Form 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Camat Nuha</cp:lastModifiedBy>
  <cp:lastPrinted>2025-01-06T01:13:37Z</cp:lastPrinted>
  <dcterms:created xsi:type="dcterms:W3CDTF">2019-04-15T03:21:15Z</dcterms:created>
  <dcterms:modified xsi:type="dcterms:W3CDTF">2025-06-02T23:36:09Z</dcterms:modified>
</cp:coreProperties>
</file>